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101"/>
  <workbookPr/>
  <mc:AlternateContent xmlns:mc="http://schemas.openxmlformats.org/markup-compatibility/2006">
    <mc:Choice Requires="x15">
      <x15ac:absPath xmlns:x15ac="http://schemas.microsoft.com/office/spreadsheetml/2010/11/ac" url="/Users/laurensr/Desktop/"/>
    </mc:Choice>
  </mc:AlternateContent>
  <bookViews>
    <workbookView xWindow="2300" yWindow="460" windowWidth="22440" windowHeight="14480" tabRatio="500" activeTab="1"/>
  </bookViews>
  <sheets>
    <sheet name="Cover" sheetId="67" r:id="rId1"/>
    <sheet name="Index" sheetId="1" r:id="rId2"/>
    <sheet name="General Assumptions" sheetId="23" r:id="rId3"/>
    <sheet name="Influence Chart" sheetId="72" r:id="rId4"/>
    <sheet name="Sensitivity Analysis" sheetId="76" r:id="rId5"/>
    <sheet name="Valuation" sheetId="39" r:id="rId6"/>
    <sheet name="NPV Calculations for Simulation" sheetId="78" r:id="rId7"/>
    <sheet name="Risk Mitigation Cost" sheetId="62" r:id="rId8"/>
    <sheet name="Simulation before Mitigation" sheetId="79" r:id="rId9"/>
    <sheet name="BASES MODEL (Base Case)" sheetId="28" r:id="rId10"/>
    <sheet name="Purchase Intent and Price" sheetId="70" r:id="rId11"/>
    <sheet name="ACV" sheetId="71" r:id="rId12"/>
    <sheet name="FE Assumptions" sheetId="35" r:id="rId13"/>
    <sheet name="Income Statement" sheetId="36" r:id="rId14"/>
    <sheet name="Simulation of The Worst Case" sheetId="80" r:id="rId15"/>
    <sheet name="Base Case-Worst Case" sheetId="83" r:id="rId16"/>
    <sheet name="Simulation after Mitigation" sheetId="82" r:id="rId17"/>
    <sheet name="Base Case-after Risk Mitigation" sheetId="84" r:id="rId18"/>
    <sheet name="PI &amp;Price after Risk Mitigation" sheetId="85" r:id="rId19"/>
    <sheet name="FE Assumption after Mitigation" sheetId="86" r:id="rId20"/>
    <sheet name="IS after Mitigation" sheetId="87" r:id="rId21"/>
    <sheet name="Capacity" sheetId="11" r:id="rId22"/>
    <sheet name="Aggregate Plan" sheetId="38" r:id="rId23"/>
    <sheet name="Inventory" sheetId="50" r:id="rId24"/>
    <sheet name="Logistics" sheetId="25" r:id="rId25"/>
    <sheet name="Salaries" sheetId="2" r:id="rId26"/>
    <sheet name="Location" sheetId="8" r:id="rId27"/>
    <sheet name="OH" sheetId="56" r:id="rId28"/>
    <sheet name="Scrap + Defect" sheetId="4" r:id="rId29"/>
    <sheet name="HOQ" sheetId="6" r:id="rId30"/>
    <sheet name="Office" sheetId="58" r:id="rId31"/>
    <sheet name="IT" sheetId="54" r:id="rId32"/>
    <sheet name="Avg.Weighted Manufacturer Price" sheetId="68" r:id="rId33"/>
    <sheet name="RiskSerializationData" sheetId="74" state="hidden" r:id="rId34"/>
    <sheet name="IMC Schedules" sheetId="40" r:id="rId35"/>
    <sheet name="IMC References" sheetId="45" r:id="rId36"/>
    <sheet name="Balance Sheet" sheetId="34" r:id="rId37"/>
    <sheet name="rsklibSimData" sheetId="75" state="hidden" r:id="rId38"/>
    <sheet name="Funding" sheetId="63" r:id="rId39"/>
    <sheet name="Break-even Analysis" sheetId="66" r:id="rId40"/>
    <sheet name="Depreciation Tables" sheetId="57" r:id="rId41"/>
    <sheet name="CompCo" sheetId="53" r:id="rId42"/>
  </sheets>
  <externalReferences>
    <externalReference r:id="rId4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NewMatrix1">'Purchase Intent and Price'!$F$38:$G$39</definedName>
    <definedName name="Pal_Workbook_GUID" hidden="1">"6S7YKNS46QGB8PDTMLXU66RC"</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"$C$13"</definedName>
    <definedName name="RiskSelectedNameCell1" hidden="1">"$B$16"</definedName>
    <definedName name="RiskSelectedNameCell2" hidden="1">"$B$5"</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13" i="70" l="1"/>
  <c r="C5" i="28"/>
  <c r="C14" i="71"/>
  <c r="C8" i="28"/>
  <c r="M6" i="70"/>
  <c r="C6" i="28"/>
  <c r="C3" i="28"/>
  <c r="Q32" i="40"/>
  <c r="Q16" i="40"/>
  <c r="Q7" i="40"/>
  <c r="Q34" i="40"/>
  <c r="C7" i="28"/>
  <c r="C9" i="28"/>
  <c r="C11" i="28"/>
  <c r="C13" i="28"/>
  <c r="C20" i="70"/>
  <c r="C20" i="28"/>
  <c r="C23" i="28"/>
  <c r="M7" i="70"/>
  <c r="C21" i="28"/>
  <c r="C18" i="28"/>
  <c r="R32" i="40"/>
  <c r="R16" i="40"/>
  <c r="R7" i="40"/>
  <c r="R34" i="40"/>
  <c r="C22" i="28"/>
  <c r="C24" i="28"/>
  <c r="C26" i="28"/>
  <c r="C27" i="28"/>
  <c r="C28" i="28"/>
  <c r="C37" i="28"/>
  <c r="C38" i="28"/>
  <c r="D11" i="36"/>
  <c r="D15" i="36"/>
  <c r="D21" i="36"/>
  <c r="C15" i="4"/>
  <c r="C3" i="4"/>
  <c r="D3" i="4"/>
  <c r="D15" i="4"/>
  <c r="H16" i="11"/>
  <c r="C6" i="23"/>
  <c r="H17" i="11"/>
  <c r="D18" i="11"/>
  <c r="D35" i="11"/>
  <c r="D201" i="2"/>
  <c r="D200" i="2"/>
  <c r="D212" i="2"/>
  <c r="N16" i="58"/>
  <c r="I16" i="58"/>
  <c r="C35" i="58"/>
  <c r="D52" i="35"/>
  <c r="D22" i="36"/>
  <c r="D24" i="36"/>
  <c r="D25" i="36"/>
  <c r="D29" i="36"/>
  <c r="D31" i="36"/>
  <c r="D33" i="36"/>
  <c r="D7" i="39"/>
  <c r="D11" i="39"/>
  <c r="D27" i="11"/>
  <c r="D28" i="11"/>
  <c r="D30" i="11"/>
  <c r="D32" i="11"/>
  <c r="H22" i="11"/>
  <c r="I22" i="11"/>
  <c r="I33" i="11"/>
  <c r="C19" i="35"/>
  <c r="D18" i="2"/>
  <c r="E18" i="2"/>
  <c r="F18" i="2"/>
  <c r="C215" i="2"/>
  <c r="G18" i="2"/>
  <c r="C17" i="35"/>
  <c r="C23" i="35"/>
  <c r="C16" i="36"/>
  <c r="C21" i="36"/>
  <c r="C201" i="2"/>
  <c r="C212" i="2"/>
  <c r="M12" i="58"/>
  <c r="I12" i="58"/>
  <c r="C12" i="58"/>
  <c r="C213" i="2"/>
  <c r="M3" i="58"/>
  <c r="C3" i="58"/>
  <c r="M4" i="58"/>
  <c r="C4" i="58"/>
  <c r="M5" i="58"/>
  <c r="C5" i="58"/>
  <c r="M6" i="58"/>
  <c r="C6" i="58"/>
  <c r="M7" i="58"/>
  <c r="C7" i="58"/>
  <c r="M8" i="58"/>
  <c r="C8" i="58"/>
  <c r="C9" i="58"/>
  <c r="M10" i="58"/>
  <c r="C10" i="58"/>
  <c r="C11" i="58"/>
  <c r="M13" i="58"/>
  <c r="C13" i="58"/>
  <c r="M14" i="58"/>
  <c r="C14" i="58"/>
  <c r="C15" i="58"/>
  <c r="M16" i="58"/>
  <c r="C16" i="58"/>
  <c r="C17" i="58"/>
  <c r="C52" i="35"/>
  <c r="C22" i="36"/>
  <c r="C24" i="36"/>
  <c r="C25" i="36"/>
  <c r="C29" i="36"/>
  <c r="C31" i="36"/>
  <c r="C33" i="36"/>
  <c r="C7" i="39"/>
  <c r="C11" i="39"/>
  <c r="N8" i="39"/>
  <c r="N11" i="39"/>
  <c r="N12" i="39"/>
  <c r="C13" i="39"/>
  <c r="C1" i="78"/>
  <c r="D13" i="70"/>
  <c r="E13" i="70"/>
  <c r="F13" i="70"/>
  <c r="G13" i="70"/>
  <c r="G7" i="84"/>
  <c r="D14" i="71"/>
  <c r="E14" i="71"/>
  <c r="F14" i="71"/>
  <c r="G14" i="71"/>
  <c r="G10" i="84"/>
  <c r="G5" i="84"/>
  <c r="G8" i="84"/>
  <c r="Q136" i="40"/>
  <c r="Q119" i="40"/>
  <c r="Q110" i="40"/>
  <c r="Q106" i="40"/>
  <c r="Q134" i="40"/>
  <c r="Q137" i="40"/>
  <c r="Q138" i="40"/>
  <c r="G9" i="84"/>
  <c r="G11" i="84"/>
  <c r="G13" i="84"/>
  <c r="G15" i="84"/>
  <c r="D20" i="70"/>
  <c r="E20" i="70"/>
  <c r="F20" i="70"/>
  <c r="G20" i="70"/>
  <c r="G22" i="84"/>
  <c r="G25" i="84"/>
  <c r="G20" i="84"/>
  <c r="G23" i="84"/>
  <c r="R136" i="40"/>
  <c r="R119" i="40"/>
  <c r="R110" i="40"/>
  <c r="R106" i="40"/>
  <c r="R134" i="40"/>
  <c r="R137" i="40"/>
  <c r="R138" i="40"/>
  <c r="G24" i="84"/>
  <c r="G26" i="84"/>
  <c r="G28" i="84"/>
  <c r="G29" i="84"/>
  <c r="G30" i="84"/>
  <c r="G39" i="84"/>
  <c r="F7" i="84"/>
  <c r="F10" i="84"/>
  <c r="F5" i="84"/>
  <c r="F8" i="84"/>
  <c r="AK85" i="40"/>
  <c r="AK68" i="40"/>
  <c r="AK59" i="40"/>
  <c r="AK55" i="40"/>
  <c r="AK83" i="40"/>
  <c r="AK86" i="40"/>
  <c r="AK87" i="40"/>
  <c r="F9" i="84"/>
  <c r="F11" i="84"/>
  <c r="F13" i="84"/>
  <c r="F15" i="84"/>
  <c r="F22" i="84"/>
  <c r="F25" i="84"/>
  <c r="F20" i="84"/>
  <c r="F23" i="84"/>
  <c r="AL85" i="40"/>
  <c r="AL68" i="40"/>
  <c r="AL59" i="40"/>
  <c r="AL55" i="40"/>
  <c r="AL83" i="40"/>
  <c r="AL86" i="40"/>
  <c r="AL87" i="40"/>
  <c r="F24" i="84"/>
  <c r="F26" i="84"/>
  <c r="F28" i="84"/>
  <c r="F29" i="84"/>
  <c r="F30" i="84"/>
  <c r="F39" i="84"/>
  <c r="E7" i="84"/>
  <c r="E10" i="84"/>
  <c r="E5" i="84"/>
  <c r="E8" i="84"/>
  <c r="Q85" i="40"/>
  <c r="Q68" i="40"/>
  <c r="Q59" i="40"/>
  <c r="Q55" i="40"/>
  <c r="Q83" i="40"/>
  <c r="Q86" i="40"/>
  <c r="Q87" i="40"/>
  <c r="E9" i="84"/>
  <c r="E11" i="84"/>
  <c r="E13" i="84"/>
  <c r="E15" i="84"/>
  <c r="E22" i="84"/>
  <c r="E25" i="84"/>
  <c r="E20" i="84"/>
  <c r="E23" i="84"/>
  <c r="R85" i="40"/>
  <c r="R68" i="40"/>
  <c r="R59" i="40"/>
  <c r="R55" i="40"/>
  <c r="R83" i="40"/>
  <c r="R86" i="40"/>
  <c r="R87" i="40"/>
  <c r="E24" i="84"/>
  <c r="E26" i="84"/>
  <c r="E28" i="84"/>
  <c r="E29" i="84"/>
  <c r="E30" i="84"/>
  <c r="E39" i="84"/>
  <c r="D7" i="84"/>
  <c r="D10" i="84"/>
  <c r="D5" i="84"/>
  <c r="D8" i="84"/>
  <c r="AK31" i="40"/>
  <c r="AK16" i="40"/>
  <c r="AK7" i="40"/>
  <c r="AK33" i="40"/>
  <c r="AK35" i="40"/>
  <c r="AK36" i="40"/>
  <c r="D9" i="84"/>
  <c r="D11" i="84"/>
  <c r="D13" i="84"/>
  <c r="D15" i="84"/>
  <c r="D22" i="84"/>
  <c r="D25" i="84"/>
  <c r="D20" i="84"/>
  <c r="D23" i="84"/>
  <c r="AL31" i="40"/>
  <c r="AL16" i="40"/>
  <c r="AL7" i="40"/>
  <c r="AL33" i="40"/>
  <c r="AL35" i="40"/>
  <c r="AL36" i="40"/>
  <c r="D24" i="84"/>
  <c r="D26" i="84"/>
  <c r="D28" i="84"/>
  <c r="D29" i="84"/>
  <c r="D30" i="84"/>
  <c r="D39" i="84"/>
  <c r="C7" i="84"/>
  <c r="C10" i="84"/>
  <c r="C5" i="84"/>
  <c r="C8" i="84"/>
  <c r="C9" i="84"/>
  <c r="C11" i="84"/>
  <c r="C13" i="84"/>
  <c r="C15" i="84"/>
  <c r="C22" i="84"/>
  <c r="C25" i="84"/>
  <c r="C20" i="84"/>
  <c r="C23" i="84"/>
  <c r="C24" i="84"/>
  <c r="C26" i="84"/>
  <c r="C28" i="84"/>
  <c r="C29" i="84"/>
  <c r="C30" i="84"/>
  <c r="C39" i="84"/>
  <c r="G5" i="28"/>
  <c r="G8" i="28"/>
  <c r="G3" i="28"/>
  <c r="G6" i="28"/>
  <c r="G7" i="28"/>
  <c r="G9" i="28"/>
  <c r="G11" i="28"/>
  <c r="G13" i="28"/>
  <c r="G20" i="28"/>
  <c r="G23" i="28"/>
  <c r="G18" i="28"/>
  <c r="G21" i="28"/>
  <c r="G22" i="28"/>
  <c r="G24" i="28"/>
  <c r="G26" i="28"/>
  <c r="G27" i="28"/>
  <c r="G28" i="28"/>
  <c r="G37" i="28"/>
  <c r="C85" i="4"/>
  <c r="C73" i="4"/>
  <c r="D73" i="4"/>
  <c r="D85" i="4"/>
  <c r="H180" i="11"/>
  <c r="H181" i="11"/>
  <c r="D182" i="11"/>
  <c r="D199" i="11"/>
  <c r="H201" i="2"/>
  <c r="H200" i="2"/>
  <c r="H212" i="2"/>
  <c r="R16" i="58"/>
  <c r="C111" i="58"/>
  <c r="H52" i="35"/>
  <c r="H21" i="87"/>
  <c r="F5" i="28"/>
  <c r="F8" i="28"/>
  <c r="F3" i="28"/>
  <c r="F6" i="28"/>
  <c r="F7" i="28"/>
  <c r="F9" i="28"/>
  <c r="F11" i="28"/>
  <c r="F13" i="28"/>
  <c r="F20" i="28"/>
  <c r="F23" i="28"/>
  <c r="F18" i="28"/>
  <c r="F21" i="28"/>
  <c r="F22" i="28"/>
  <c r="F24" i="28"/>
  <c r="F26" i="28"/>
  <c r="F27" i="28"/>
  <c r="F28" i="28"/>
  <c r="F37" i="28"/>
  <c r="C68" i="4"/>
  <c r="C56" i="4"/>
  <c r="D56" i="4"/>
  <c r="D68" i="4"/>
  <c r="H139" i="11"/>
  <c r="H140" i="11"/>
  <c r="D141" i="11"/>
  <c r="D158" i="11"/>
  <c r="G201" i="2"/>
  <c r="G200" i="2"/>
  <c r="G212" i="2"/>
  <c r="Q16" i="58"/>
  <c r="C92" i="58"/>
  <c r="G52" i="35"/>
  <c r="G21" i="87"/>
  <c r="E5" i="28"/>
  <c r="E8" i="28"/>
  <c r="E3" i="28"/>
  <c r="E6" i="28"/>
  <c r="E7" i="28"/>
  <c r="E9" i="28"/>
  <c r="E11" i="28"/>
  <c r="E13" i="28"/>
  <c r="E20" i="28"/>
  <c r="E23" i="28"/>
  <c r="E18" i="28"/>
  <c r="E21" i="28"/>
  <c r="E22" i="28"/>
  <c r="E24" i="28"/>
  <c r="E26" i="28"/>
  <c r="E27" i="28"/>
  <c r="E28" i="28"/>
  <c r="E37" i="28"/>
  <c r="C51" i="4"/>
  <c r="C39" i="4"/>
  <c r="D39" i="4"/>
  <c r="D51" i="4"/>
  <c r="H98" i="11"/>
  <c r="H99" i="11"/>
  <c r="D100" i="11"/>
  <c r="D117" i="11"/>
  <c r="F201" i="2"/>
  <c r="F200" i="2"/>
  <c r="F212" i="2"/>
  <c r="P16" i="58"/>
  <c r="C73" i="58"/>
  <c r="F52" i="35"/>
  <c r="F21" i="87"/>
  <c r="D5" i="28"/>
  <c r="D8" i="28"/>
  <c r="D3" i="28"/>
  <c r="D6" i="28"/>
  <c r="D7" i="28"/>
  <c r="D9" i="28"/>
  <c r="D11" i="28"/>
  <c r="D13" i="28"/>
  <c r="D20" i="28"/>
  <c r="D23" i="28"/>
  <c r="D18" i="28"/>
  <c r="D21" i="28"/>
  <c r="D22" i="28"/>
  <c r="D24" i="28"/>
  <c r="D26" i="28"/>
  <c r="D27" i="28"/>
  <c r="D28" i="28"/>
  <c r="D37" i="28"/>
  <c r="C33" i="4"/>
  <c r="C21" i="4"/>
  <c r="D21" i="4"/>
  <c r="D33" i="4"/>
  <c r="H57" i="11"/>
  <c r="H58" i="11"/>
  <c r="D59" i="11"/>
  <c r="D76" i="11"/>
  <c r="E201" i="2"/>
  <c r="E200" i="2"/>
  <c r="E212" i="2"/>
  <c r="O16" i="58"/>
  <c r="C54" i="58"/>
  <c r="E52" i="35"/>
  <c r="E21" i="87"/>
  <c r="D21" i="87"/>
  <c r="J50" i="79"/>
  <c r="B50" i="79"/>
  <c r="J30" i="79"/>
  <c r="B30" i="79"/>
  <c r="J12" i="79"/>
  <c r="B12" i="79"/>
  <c r="B12" i="82"/>
  <c r="B12" i="80"/>
  <c r="AI31" i="40"/>
  <c r="AI28" i="40"/>
  <c r="AI16" i="40"/>
  <c r="AI15" i="40"/>
  <c r="AI8" i="40"/>
  <c r="AI9" i="40"/>
  <c r="AI10" i="40"/>
  <c r="AI11" i="40"/>
  <c r="AI12" i="40"/>
  <c r="AI13" i="40"/>
  <c r="AI14" i="40"/>
  <c r="AI7" i="40"/>
  <c r="AI36" i="40"/>
  <c r="AI42" i="40"/>
  <c r="AI40" i="40"/>
  <c r="AI41" i="40"/>
  <c r="AI39" i="40"/>
  <c r="AI44" i="40"/>
  <c r="AI46" i="40"/>
  <c r="E55" i="35"/>
  <c r="E17" i="87"/>
  <c r="O94" i="40"/>
  <c r="O91" i="40"/>
  <c r="O93" i="40"/>
  <c r="O90" i="40"/>
  <c r="O96" i="40"/>
  <c r="O84" i="40"/>
  <c r="O83" i="40"/>
  <c r="O68" i="40"/>
  <c r="O67" i="40"/>
  <c r="O60" i="40"/>
  <c r="O61" i="40"/>
  <c r="O62" i="40"/>
  <c r="O63" i="40"/>
  <c r="O64" i="40"/>
  <c r="O65" i="40"/>
  <c r="O66" i="40"/>
  <c r="O59" i="40"/>
  <c r="O55" i="40"/>
  <c r="O87" i="40"/>
  <c r="O97" i="40"/>
  <c r="F55" i="35"/>
  <c r="H7" i="62"/>
  <c r="F17" i="87"/>
  <c r="AI94" i="40"/>
  <c r="AI91" i="40"/>
  <c r="AI93" i="40"/>
  <c r="AI90" i="40"/>
  <c r="AI96" i="40"/>
  <c r="AI84" i="40"/>
  <c r="AI83" i="40"/>
  <c r="AI68" i="40"/>
  <c r="AI67" i="40"/>
  <c r="AI60" i="40"/>
  <c r="AI61" i="40"/>
  <c r="AI62" i="40"/>
  <c r="AI63" i="40"/>
  <c r="AI64" i="40"/>
  <c r="AI65" i="40"/>
  <c r="AI66" i="40"/>
  <c r="AI59" i="40"/>
  <c r="AI55" i="40"/>
  <c r="AI87" i="40"/>
  <c r="AI97" i="40"/>
  <c r="G55" i="35"/>
  <c r="I7" i="62"/>
  <c r="G17" i="87"/>
  <c r="O145" i="40"/>
  <c r="O142" i="40"/>
  <c r="O144" i="40"/>
  <c r="O141" i="40"/>
  <c r="O147" i="40"/>
  <c r="O135" i="40"/>
  <c r="O134" i="40"/>
  <c r="O119" i="40"/>
  <c r="O118" i="40"/>
  <c r="O111" i="40"/>
  <c r="O112" i="40"/>
  <c r="O113" i="40"/>
  <c r="O114" i="40"/>
  <c r="O115" i="40"/>
  <c r="O116" i="40"/>
  <c r="O117" i="40"/>
  <c r="O110" i="40"/>
  <c r="O106" i="40"/>
  <c r="O138" i="40"/>
  <c r="O148" i="40"/>
  <c r="H55" i="35"/>
  <c r="J7" i="62"/>
  <c r="H17" i="87"/>
  <c r="O32" i="40"/>
  <c r="O28" i="40"/>
  <c r="O16" i="40"/>
  <c r="O15" i="40"/>
  <c r="O8" i="40"/>
  <c r="O9" i="40"/>
  <c r="O10" i="40"/>
  <c r="O11" i="40"/>
  <c r="O12" i="40"/>
  <c r="O13" i="40"/>
  <c r="O14" i="40"/>
  <c r="O7" i="40"/>
  <c r="O34" i="40"/>
  <c r="O41" i="40"/>
  <c r="O39" i="40"/>
  <c r="O40" i="40"/>
  <c r="O38" i="40"/>
  <c r="O43" i="40"/>
  <c r="O45" i="40"/>
  <c r="D55" i="35"/>
  <c r="D17" i="87"/>
  <c r="C19" i="87"/>
  <c r="D77" i="2"/>
  <c r="E185" i="2"/>
  <c r="E77" i="2"/>
  <c r="O9" i="71"/>
  <c r="F77" i="2"/>
  <c r="G77" i="2"/>
  <c r="E56" i="35"/>
  <c r="E18" i="87"/>
  <c r="D49" i="2"/>
  <c r="D185" i="2"/>
  <c r="E49" i="2"/>
  <c r="O11" i="71"/>
  <c r="F49" i="2"/>
  <c r="G49" i="2"/>
  <c r="D56" i="35"/>
  <c r="D18" i="87"/>
  <c r="C17" i="87"/>
  <c r="D4" i="2"/>
  <c r="E4" i="2"/>
  <c r="F4" i="2"/>
  <c r="G4" i="2"/>
  <c r="D5" i="2"/>
  <c r="E5" i="2"/>
  <c r="F5" i="2"/>
  <c r="G5" i="2"/>
  <c r="D6" i="2"/>
  <c r="E6" i="2"/>
  <c r="F6" i="2"/>
  <c r="G6" i="2"/>
  <c r="D7" i="2"/>
  <c r="E7" i="2"/>
  <c r="F7" i="2"/>
  <c r="G7" i="2"/>
  <c r="D8" i="2"/>
  <c r="E8" i="2"/>
  <c r="F8" i="2"/>
  <c r="G8" i="2"/>
  <c r="D9" i="2"/>
  <c r="E9" i="2"/>
  <c r="F9" i="2"/>
  <c r="G9" i="2"/>
  <c r="D10" i="2"/>
  <c r="E10" i="2"/>
  <c r="F10" i="2"/>
  <c r="G10" i="2"/>
  <c r="D11" i="2"/>
  <c r="E11" i="2"/>
  <c r="F11" i="2"/>
  <c r="G11" i="2"/>
  <c r="D14" i="2"/>
  <c r="E14" i="2"/>
  <c r="F14" i="2"/>
  <c r="G14" i="2"/>
  <c r="D15" i="2"/>
  <c r="E15" i="2"/>
  <c r="F15" i="2"/>
  <c r="G15" i="2"/>
  <c r="D16" i="2"/>
  <c r="E16" i="2"/>
  <c r="F16" i="2"/>
  <c r="G16" i="2"/>
  <c r="D17" i="2"/>
  <c r="E17" i="2"/>
  <c r="F17" i="2"/>
  <c r="G17" i="2"/>
  <c r="D19" i="2"/>
  <c r="E19" i="2"/>
  <c r="F19" i="2"/>
  <c r="G19" i="2"/>
  <c r="G26" i="2"/>
  <c r="C54" i="35"/>
  <c r="C16" i="87"/>
  <c r="C12" i="87"/>
  <c r="C11" i="87"/>
  <c r="D20" i="87"/>
  <c r="E20" i="87"/>
  <c r="I20" i="87"/>
  <c r="R4" i="53"/>
  <c r="R5" i="53"/>
  <c r="R9" i="53"/>
  <c r="C72" i="86"/>
  <c r="C69" i="86"/>
  <c r="E52" i="86"/>
  <c r="D52" i="86"/>
  <c r="H51" i="86"/>
  <c r="G51" i="86"/>
  <c r="F51" i="86"/>
  <c r="E51" i="86"/>
  <c r="D51" i="86"/>
  <c r="C50" i="86"/>
  <c r="H38" i="86"/>
  <c r="G38" i="86"/>
  <c r="F38" i="86"/>
  <c r="E38" i="86"/>
  <c r="D38" i="86"/>
  <c r="H37" i="86"/>
  <c r="G37" i="86"/>
  <c r="F37" i="86"/>
  <c r="H36" i="86"/>
  <c r="G36" i="86"/>
  <c r="F36" i="86"/>
  <c r="H35" i="86"/>
  <c r="G35" i="86"/>
  <c r="F35" i="86"/>
  <c r="H34" i="86"/>
  <c r="G34" i="86"/>
  <c r="H33" i="86"/>
  <c r="G33" i="86"/>
  <c r="F33" i="86"/>
  <c r="E33" i="86"/>
  <c r="D33" i="86"/>
  <c r="H32" i="86"/>
  <c r="G32" i="86"/>
  <c r="F32" i="86"/>
  <c r="E32" i="86"/>
  <c r="D32" i="86"/>
  <c r="C18" i="56"/>
  <c r="C21" i="56"/>
  <c r="C5" i="56"/>
  <c r="D22" i="2"/>
  <c r="E22" i="2"/>
  <c r="F22" i="2"/>
  <c r="G22" i="2"/>
  <c r="C6" i="56"/>
  <c r="D13" i="2"/>
  <c r="E13" i="2"/>
  <c r="F13" i="2"/>
  <c r="G13" i="2"/>
  <c r="C7" i="56"/>
  <c r="C32" i="56"/>
  <c r="C8" i="56"/>
  <c r="C27" i="56"/>
  <c r="C9" i="56"/>
  <c r="C10" i="56"/>
  <c r="C12" i="56"/>
  <c r="C18" i="86"/>
  <c r="C37" i="54"/>
  <c r="D37" i="54"/>
  <c r="D38" i="54"/>
  <c r="D21" i="2"/>
  <c r="C39" i="54"/>
  <c r="D39" i="54"/>
  <c r="C40" i="54"/>
  <c r="D40" i="54"/>
  <c r="D41" i="54"/>
  <c r="D42" i="54"/>
  <c r="D43" i="54"/>
  <c r="D45" i="54"/>
  <c r="D46" i="54"/>
  <c r="C47" i="54"/>
  <c r="C14" i="54"/>
  <c r="D47" i="54"/>
  <c r="C15" i="54"/>
  <c r="D48" i="54"/>
  <c r="D49" i="54"/>
  <c r="C50" i="54"/>
  <c r="C17" i="54"/>
  <c r="D50" i="54"/>
  <c r="C51" i="54"/>
  <c r="D51" i="54"/>
  <c r="C52" i="54"/>
  <c r="D52" i="54"/>
  <c r="C53" i="54"/>
  <c r="D53" i="54"/>
  <c r="C55" i="54"/>
  <c r="C22" i="54"/>
  <c r="D55" i="54"/>
  <c r="C56" i="54"/>
  <c r="D56" i="54"/>
  <c r="C24" i="54"/>
  <c r="D57" i="54"/>
  <c r="D59" i="54"/>
  <c r="D60" i="54"/>
  <c r="C33" i="54"/>
  <c r="C16" i="86"/>
  <c r="C13" i="86"/>
  <c r="D41" i="86"/>
  <c r="D40" i="86"/>
  <c r="F20" i="87"/>
  <c r="J20" i="87"/>
  <c r="E40" i="86"/>
  <c r="D42" i="86"/>
  <c r="E41" i="86"/>
  <c r="D45" i="35"/>
  <c r="D44" i="35"/>
  <c r="G20" i="87"/>
  <c r="K20" i="87"/>
  <c r="F40" i="86"/>
  <c r="E42" i="86"/>
  <c r="F41" i="86"/>
  <c r="J38" i="86"/>
  <c r="H20" i="87"/>
  <c r="L20" i="87"/>
  <c r="G41" i="86"/>
  <c r="K38" i="86"/>
  <c r="F42" i="86"/>
  <c r="G40" i="86"/>
  <c r="H40" i="86"/>
  <c r="G42" i="86"/>
  <c r="H41" i="86"/>
  <c r="L38" i="86"/>
  <c r="H42" i="86"/>
  <c r="M38" i="86"/>
  <c r="D92" i="85"/>
  <c r="F92" i="85"/>
  <c r="C92" i="85"/>
  <c r="E92" i="85"/>
  <c r="G92" i="85"/>
  <c r="D91" i="85"/>
  <c r="F91" i="85"/>
  <c r="C91" i="85"/>
  <c r="E91" i="85"/>
  <c r="G91" i="85"/>
  <c r="D90" i="85"/>
  <c r="F90" i="85"/>
  <c r="C90" i="85"/>
  <c r="E90" i="85"/>
  <c r="G90" i="85"/>
  <c r="D89" i="85"/>
  <c r="F89" i="85"/>
  <c r="C89" i="85"/>
  <c r="E89" i="85"/>
  <c r="G89" i="85"/>
  <c r="D88" i="85"/>
  <c r="F88" i="85"/>
  <c r="C88" i="85"/>
  <c r="E88" i="85"/>
  <c r="G88" i="85"/>
  <c r="D52" i="85"/>
  <c r="F52" i="85"/>
  <c r="C52" i="85"/>
  <c r="E52" i="85"/>
  <c r="G52" i="85"/>
  <c r="H52" i="85"/>
  <c r="I52" i="85"/>
  <c r="J52" i="85"/>
  <c r="D51" i="85"/>
  <c r="F51" i="85"/>
  <c r="C51" i="85"/>
  <c r="E51" i="85"/>
  <c r="G51" i="85"/>
  <c r="D50" i="85"/>
  <c r="F50" i="85"/>
  <c r="C50" i="85"/>
  <c r="E50" i="85"/>
  <c r="G50" i="85"/>
  <c r="D49" i="85"/>
  <c r="F49" i="85"/>
  <c r="C49" i="85"/>
  <c r="E49" i="85"/>
  <c r="G49" i="85"/>
  <c r="D48" i="85"/>
  <c r="F48" i="85"/>
  <c r="C48" i="85"/>
  <c r="E48" i="85"/>
  <c r="G48" i="85"/>
  <c r="R44" i="85"/>
  <c r="S44" i="85"/>
  <c r="U44" i="85"/>
  <c r="R43" i="85"/>
  <c r="S43" i="85"/>
  <c r="U43" i="85"/>
  <c r="R42" i="85"/>
  <c r="S42" i="85"/>
  <c r="U42" i="85"/>
  <c r="E41" i="85"/>
  <c r="E40" i="85"/>
  <c r="G39" i="85"/>
  <c r="F39" i="85"/>
  <c r="R36" i="85"/>
  <c r="S36" i="85"/>
  <c r="U36" i="85"/>
  <c r="R35" i="85"/>
  <c r="S35" i="85"/>
  <c r="U35" i="85"/>
  <c r="R34" i="85"/>
  <c r="S34" i="85"/>
  <c r="U34" i="85"/>
  <c r="R26" i="85"/>
  <c r="S26" i="85"/>
  <c r="U26" i="85"/>
  <c r="R25" i="85"/>
  <c r="S25" i="85"/>
  <c r="U25" i="85"/>
  <c r="R24" i="85"/>
  <c r="S24" i="85"/>
  <c r="U24" i="85"/>
  <c r="U27" i="85"/>
  <c r="G20" i="85"/>
  <c r="F20" i="85"/>
  <c r="E20" i="85"/>
  <c r="D20" i="85"/>
  <c r="C20" i="85"/>
  <c r="R18" i="85"/>
  <c r="S18" i="85"/>
  <c r="U18" i="85"/>
  <c r="G18" i="85"/>
  <c r="F18" i="85"/>
  <c r="E18" i="85"/>
  <c r="D18" i="85"/>
  <c r="C18" i="85"/>
  <c r="R17" i="85"/>
  <c r="S17" i="85"/>
  <c r="U17" i="85"/>
  <c r="R16" i="85"/>
  <c r="S16" i="85"/>
  <c r="U16" i="85"/>
  <c r="U19" i="85"/>
  <c r="G16" i="85"/>
  <c r="F16" i="85"/>
  <c r="E16" i="85"/>
  <c r="D16" i="85"/>
  <c r="C16" i="85"/>
  <c r="G13" i="85"/>
  <c r="F13" i="85"/>
  <c r="E13" i="85"/>
  <c r="D13" i="85"/>
  <c r="C13" i="85"/>
  <c r="G11" i="85"/>
  <c r="F11" i="85"/>
  <c r="E11" i="85"/>
  <c r="D11" i="85"/>
  <c r="C11" i="85"/>
  <c r="M9" i="85"/>
  <c r="G9" i="85"/>
  <c r="F9" i="85"/>
  <c r="E9" i="85"/>
  <c r="D9" i="85"/>
  <c r="C9" i="85"/>
  <c r="M8" i="85"/>
  <c r="G8" i="85"/>
  <c r="F8" i="85"/>
  <c r="E8" i="85"/>
  <c r="D8" i="85"/>
  <c r="C8" i="85"/>
  <c r="G40" i="84"/>
  <c r="F40" i="84"/>
  <c r="E40" i="84"/>
  <c r="D40" i="84"/>
  <c r="C40" i="84"/>
  <c r="G38" i="84"/>
  <c r="F38" i="84"/>
  <c r="E38" i="84"/>
  <c r="D38" i="84"/>
  <c r="C38" i="84"/>
  <c r="G31" i="84"/>
  <c r="F31" i="84"/>
  <c r="E31" i="84"/>
  <c r="D31" i="84"/>
  <c r="C31" i="84"/>
  <c r="G21" i="84"/>
  <c r="F21" i="84"/>
  <c r="E21" i="84"/>
  <c r="D21" i="84"/>
  <c r="C21" i="84"/>
  <c r="G16" i="84"/>
  <c r="F16" i="84"/>
  <c r="E16" i="84"/>
  <c r="D16" i="84"/>
  <c r="C16" i="84"/>
  <c r="G14" i="84"/>
  <c r="F14" i="84"/>
  <c r="E14" i="84"/>
  <c r="D14" i="84"/>
  <c r="C14" i="84"/>
  <c r="G6" i="84"/>
  <c r="F6" i="84"/>
  <c r="E6" i="84"/>
  <c r="D6" i="84"/>
  <c r="C6" i="84"/>
  <c r="G42" i="83"/>
  <c r="F42" i="83"/>
  <c r="E42" i="83"/>
  <c r="D42" i="83"/>
  <c r="C42" i="83"/>
  <c r="G40" i="83"/>
  <c r="F40" i="83"/>
  <c r="E40" i="83"/>
  <c r="D40" i="83"/>
  <c r="C40" i="83"/>
  <c r="G33" i="83"/>
  <c r="F33" i="83"/>
  <c r="E33" i="83"/>
  <c r="D33" i="83"/>
  <c r="C33" i="83"/>
  <c r="G31" i="83"/>
  <c r="F31" i="83"/>
  <c r="E31" i="83"/>
  <c r="D31" i="83"/>
  <c r="C31" i="83"/>
  <c r="G26" i="83"/>
  <c r="F26" i="83"/>
  <c r="E26" i="83"/>
  <c r="D26" i="83"/>
  <c r="C26" i="83"/>
  <c r="G25" i="83"/>
  <c r="F25" i="83"/>
  <c r="E25" i="83"/>
  <c r="D25" i="83"/>
  <c r="C25" i="83"/>
  <c r="G23" i="83"/>
  <c r="F23" i="83"/>
  <c r="E23" i="83"/>
  <c r="D23" i="83"/>
  <c r="C23" i="83"/>
  <c r="G22" i="83"/>
  <c r="F22" i="83"/>
  <c r="E22" i="83"/>
  <c r="D22" i="83"/>
  <c r="C22" i="83"/>
  <c r="G18" i="83"/>
  <c r="F18" i="83"/>
  <c r="E18" i="83"/>
  <c r="D18" i="83"/>
  <c r="C18" i="83"/>
  <c r="G16" i="83"/>
  <c r="F16" i="83"/>
  <c r="E16" i="83"/>
  <c r="D16" i="83"/>
  <c r="C16" i="83"/>
  <c r="G11" i="83"/>
  <c r="F11" i="83"/>
  <c r="E11" i="83"/>
  <c r="D11" i="83"/>
  <c r="C11" i="83"/>
  <c r="G10" i="83"/>
  <c r="F10" i="83"/>
  <c r="E10" i="83"/>
  <c r="D10" i="83"/>
  <c r="C10" i="83"/>
  <c r="G8" i="83"/>
  <c r="F8" i="83"/>
  <c r="E8" i="83"/>
  <c r="D8" i="83"/>
  <c r="C8" i="83"/>
  <c r="G7" i="83"/>
  <c r="F7" i="83"/>
  <c r="E7" i="83"/>
  <c r="D7" i="83"/>
  <c r="C7" i="83"/>
  <c r="C22" i="85"/>
  <c r="C15" i="85"/>
  <c r="D15" i="85"/>
  <c r="E15" i="85"/>
  <c r="C23" i="85"/>
  <c r="D22" i="85"/>
  <c r="H48" i="85"/>
  <c r="I48" i="85"/>
  <c r="J48" i="85"/>
  <c r="U45" i="85"/>
  <c r="H50" i="85"/>
  <c r="I50" i="85"/>
  <c r="J50" i="85"/>
  <c r="H49" i="85"/>
  <c r="I49" i="85"/>
  <c r="J49" i="85"/>
  <c r="H51" i="85"/>
  <c r="I51" i="85"/>
  <c r="J51" i="85"/>
  <c r="H88" i="85"/>
  <c r="I88" i="85"/>
  <c r="J88" i="85"/>
  <c r="H92" i="85"/>
  <c r="I92" i="85"/>
  <c r="J92" i="85"/>
  <c r="H91" i="85"/>
  <c r="I91" i="85"/>
  <c r="J91" i="85"/>
  <c r="H90" i="85"/>
  <c r="I90" i="85"/>
  <c r="J90" i="85"/>
  <c r="H89" i="85"/>
  <c r="I89" i="85"/>
  <c r="J89" i="85"/>
  <c r="U37" i="85"/>
  <c r="P25" i="76"/>
  <c r="Q25" i="76"/>
  <c r="I25" i="76"/>
  <c r="L24" i="76"/>
  <c r="M24" i="76"/>
  <c r="I24" i="76"/>
  <c r="P22" i="76"/>
  <c r="Q22" i="76"/>
  <c r="I22" i="76"/>
  <c r="L21" i="76"/>
  <c r="M21" i="76"/>
  <c r="I21" i="76"/>
  <c r="P19" i="76"/>
  <c r="Q19" i="76"/>
  <c r="I19" i="76"/>
  <c r="L18" i="76"/>
  <c r="M18" i="76"/>
  <c r="I18" i="76"/>
  <c r="P16" i="76"/>
  <c r="Q16" i="76"/>
  <c r="I16" i="76"/>
  <c r="L15" i="76"/>
  <c r="M15" i="76"/>
  <c r="I15" i="76"/>
  <c r="P13" i="76"/>
  <c r="Q13" i="76"/>
  <c r="I13" i="76"/>
  <c r="L12" i="76"/>
  <c r="M12" i="76"/>
  <c r="I12" i="76"/>
  <c r="P10" i="76"/>
  <c r="Q10" i="76"/>
  <c r="I10" i="76"/>
  <c r="L9" i="76"/>
  <c r="M9" i="76"/>
  <c r="I9" i="76"/>
  <c r="P7" i="76"/>
  <c r="Q7" i="76"/>
  <c r="I7" i="76"/>
  <c r="L6" i="76"/>
  <c r="M6" i="76"/>
  <c r="I6" i="76"/>
  <c r="AN5" i="74"/>
  <c r="AN4" i="74"/>
  <c r="AN3" i="74"/>
  <c r="E39" i="70"/>
  <c r="G37" i="70"/>
  <c r="F37" i="70"/>
  <c r="E38" i="70"/>
  <c r="E174" i="2"/>
  <c r="E65" i="2"/>
  <c r="D66" i="2"/>
  <c r="D65" i="2"/>
  <c r="D60" i="2"/>
  <c r="D169" i="2"/>
  <c r="E169" i="2"/>
  <c r="E60" i="2"/>
  <c r="F60" i="2"/>
  <c r="D61" i="2"/>
  <c r="D170" i="2"/>
  <c r="D62" i="2"/>
  <c r="D171" i="2"/>
  <c r="E171" i="2"/>
  <c r="D63" i="2"/>
  <c r="D172" i="2"/>
  <c r="E172" i="2"/>
  <c r="F172" i="2"/>
  <c r="D64" i="2"/>
  <c r="E64" i="2"/>
  <c r="F64" i="2"/>
  <c r="G64" i="2"/>
  <c r="E213" i="2"/>
  <c r="O6" i="58"/>
  <c r="Q19" i="71"/>
  <c r="S19" i="71"/>
  <c r="Q20" i="71"/>
  <c r="S20" i="71"/>
  <c r="Q21" i="71"/>
  <c r="S21" i="71"/>
  <c r="S22" i="71"/>
  <c r="T22" i="71"/>
  <c r="F210" i="2"/>
  <c r="D105" i="2"/>
  <c r="D176" i="2"/>
  <c r="E40" i="2"/>
  <c r="F40" i="2"/>
  <c r="D70" i="2"/>
  <c r="D178" i="2"/>
  <c r="E178" i="2"/>
  <c r="E70" i="2"/>
  <c r="C70" i="2"/>
  <c r="C126" i="2"/>
  <c r="D71" i="2"/>
  <c r="D179" i="2"/>
  <c r="E43" i="2"/>
  <c r="F43" i="2"/>
  <c r="D72" i="2"/>
  <c r="D180" i="2"/>
  <c r="E180" i="2"/>
  <c r="F72" i="2"/>
  <c r="D73" i="2"/>
  <c r="D181" i="2"/>
  <c r="E181" i="2"/>
  <c r="C73" i="2"/>
  <c r="F73" i="2"/>
  <c r="D74" i="2"/>
  <c r="D182" i="2"/>
  <c r="D75" i="2"/>
  <c r="E75" i="2"/>
  <c r="D76" i="2"/>
  <c r="C8" i="71"/>
  <c r="D8" i="71"/>
  <c r="E8" i="71"/>
  <c r="D7" i="71"/>
  <c r="C9" i="70"/>
  <c r="C11" i="70"/>
  <c r="D9" i="70"/>
  <c r="D11" i="70"/>
  <c r="C16" i="70"/>
  <c r="C18" i="70"/>
  <c r="D16" i="70"/>
  <c r="D18" i="70"/>
  <c r="F21" i="56"/>
  <c r="F5" i="56"/>
  <c r="D106" i="2"/>
  <c r="D186" i="2"/>
  <c r="E7" i="71"/>
  <c r="C25" i="71"/>
  <c r="E28" i="71"/>
  <c r="D27" i="71"/>
  <c r="C29" i="71"/>
  <c r="C33" i="71"/>
  <c r="H120" i="11"/>
  <c r="D30" i="56"/>
  <c r="E30" i="56"/>
  <c r="D24" i="56"/>
  <c r="D11" i="56"/>
  <c r="E11" i="56"/>
  <c r="F11" i="56"/>
  <c r="G11" i="56"/>
  <c r="H11" i="56"/>
  <c r="N13" i="50"/>
  <c r="N14" i="50"/>
  <c r="L15" i="50"/>
  <c r="D16" i="50"/>
  <c r="L16" i="50"/>
  <c r="N16" i="50"/>
  <c r="L17" i="50"/>
  <c r="N17" i="50"/>
  <c r="L18" i="50"/>
  <c r="N18" i="50"/>
  <c r="D19" i="50"/>
  <c r="J19" i="50"/>
  <c r="L19" i="50"/>
  <c r="D20" i="50"/>
  <c r="L20" i="50"/>
  <c r="D123" i="50"/>
  <c r="D21" i="50"/>
  <c r="J21" i="50"/>
  <c r="L21" i="50"/>
  <c r="L22" i="50"/>
  <c r="N22" i="50"/>
  <c r="D23" i="50"/>
  <c r="L23" i="50"/>
  <c r="D24" i="50"/>
  <c r="J24" i="50"/>
  <c r="L24" i="50"/>
  <c r="N24" i="50"/>
  <c r="D25" i="50"/>
  <c r="J25" i="50"/>
  <c r="L25" i="50"/>
  <c r="D26" i="50"/>
  <c r="L26" i="50"/>
  <c r="D27" i="50"/>
  <c r="L27" i="50"/>
  <c r="G7" i="71"/>
  <c r="C21" i="71"/>
  <c r="K187" i="38"/>
  <c r="D18" i="56"/>
  <c r="D21" i="56"/>
  <c r="D50" i="2"/>
  <c r="H38" i="11"/>
  <c r="C19" i="23"/>
  <c r="G4" i="38"/>
  <c r="D5" i="38"/>
  <c r="H79" i="11"/>
  <c r="E21" i="56"/>
  <c r="D78" i="2"/>
  <c r="D48" i="50"/>
  <c r="G13" i="25"/>
  <c r="C3" i="25"/>
  <c r="C4" i="25"/>
  <c r="C5" i="25"/>
  <c r="C6" i="25"/>
  <c r="F3" i="25"/>
  <c r="F4" i="25"/>
  <c r="D49" i="50"/>
  <c r="G14" i="25"/>
  <c r="G15" i="25"/>
  <c r="D52" i="50"/>
  <c r="G17" i="25"/>
  <c r="G18" i="25"/>
  <c r="G19" i="25"/>
  <c r="G20" i="25"/>
  <c r="G21" i="25"/>
  <c r="D57" i="50"/>
  <c r="G22" i="25"/>
  <c r="G23" i="25"/>
  <c r="G24" i="25"/>
  <c r="G25" i="25"/>
  <c r="F7" i="71"/>
  <c r="H161" i="11"/>
  <c r="G21" i="56"/>
  <c r="G5" i="56"/>
  <c r="G211" i="2"/>
  <c r="D134" i="2"/>
  <c r="H202" i="11"/>
  <c r="H21" i="56"/>
  <c r="H5" i="56"/>
  <c r="B4" i="1"/>
  <c r="B5" i="1"/>
  <c r="B6" i="1"/>
  <c r="B7" i="1"/>
  <c r="B8" i="1"/>
  <c r="B9" i="1"/>
  <c r="B10" i="1"/>
  <c r="B11" i="1"/>
  <c r="B12" i="1"/>
  <c r="B13" i="1"/>
  <c r="B14" i="1"/>
  <c r="B15" i="1"/>
  <c r="B16" i="1"/>
  <c r="B17" i="1"/>
  <c r="B18" i="1"/>
  <c r="B19" i="1"/>
  <c r="B20" i="1"/>
  <c r="B21" i="1"/>
  <c r="B22" i="1"/>
  <c r="B23" i="1"/>
  <c r="B24" i="1"/>
  <c r="B25" i="1"/>
  <c r="B26" i="1"/>
  <c r="B27" i="1"/>
  <c r="B28" i="1"/>
  <c r="B29" i="1"/>
  <c r="F75" i="8"/>
  <c r="F88" i="8"/>
  <c r="C75" i="8"/>
  <c r="C88" i="8"/>
  <c r="D20" i="2"/>
  <c r="E20" i="2"/>
  <c r="E21" i="2"/>
  <c r="C5" i="38"/>
  <c r="H37" i="35"/>
  <c r="Q31" i="71"/>
  <c r="S31" i="71"/>
  <c r="T32" i="71"/>
  <c r="H210" i="2"/>
  <c r="D160" i="2"/>
  <c r="D144" i="2"/>
  <c r="D145" i="2"/>
  <c r="D146" i="2"/>
  <c r="D147" i="2"/>
  <c r="D148" i="2"/>
  <c r="H173" i="2"/>
  <c r="E148" i="2"/>
  <c r="F148" i="2"/>
  <c r="G148" i="2"/>
  <c r="D149" i="2"/>
  <c r="D150" i="2"/>
  <c r="D151" i="2"/>
  <c r="D175" i="2"/>
  <c r="D154" i="2"/>
  <c r="D155" i="2"/>
  <c r="D156" i="2"/>
  <c r="F156" i="2"/>
  <c r="D157" i="2"/>
  <c r="D158" i="2"/>
  <c r="D159" i="2"/>
  <c r="F183" i="2"/>
  <c r="G183" i="2"/>
  <c r="D93" i="2"/>
  <c r="D94" i="2"/>
  <c r="D95" i="2"/>
  <c r="D98" i="2"/>
  <c r="D99" i="2"/>
  <c r="D102" i="2"/>
  <c r="D103" i="2"/>
  <c r="D121" i="2"/>
  <c r="D122" i="2"/>
  <c r="D123" i="2"/>
  <c r="D126" i="2"/>
  <c r="D127" i="2"/>
  <c r="D130" i="2"/>
  <c r="D131" i="2"/>
  <c r="D32" i="2"/>
  <c r="D33" i="2"/>
  <c r="D34" i="2"/>
  <c r="E34" i="2"/>
  <c r="D35" i="2"/>
  <c r="D36" i="2"/>
  <c r="D88" i="2"/>
  <c r="D89" i="2"/>
  <c r="D90" i="2"/>
  <c r="D91" i="2"/>
  <c r="D92" i="2"/>
  <c r="E92" i="2"/>
  <c r="F92" i="2"/>
  <c r="G92" i="2"/>
  <c r="D116" i="2"/>
  <c r="D117" i="2"/>
  <c r="D118" i="2"/>
  <c r="D119" i="2"/>
  <c r="D120" i="2"/>
  <c r="E120" i="2"/>
  <c r="F120" i="2"/>
  <c r="G120" i="2"/>
  <c r="Q23" i="71"/>
  <c r="S23" i="71"/>
  <c r="Q24" i="71"/>
  <c r="S24" i="71"/>
  <c r="Q25" i="71"/>
  <c r="S25" i="71"/>
  <c r="Q26" i="71"/>
  <c r="S26" i="71"/>
  <c r="D203" i="54"/>
  <c r="D206" i="54"/>
  <c r="D207" i="54"/>
  <c r="D208" i="54"/>
  <c r="D210" i="54"/>
  <c r="D211" i="54"/>
  <c r="D222" i="54"/>
  <c r="D224" i="54"/>
  <c r="D225" i="54"/>
  <c r="I28" i="11"/>
  <c r="I69" i="11"/>
  <c r="J69" i="11"/>
  <c r="K69" i="11"/>
  <c r="I110" i="11"/>
  <c r="J110" i="11"/>
  <c r="K110" i="11"/>
  <c r="I151" i="11"/>
  <c r="J151" i="11"/>
  <c r="K151" i="11"/>
  <c r="I192" i="11"/>
  <c r="J192" i="11"/>
  <c r="K192" i="11"/>
  <c r="C76" i="35"/>
  <c r="N4" i="53"/>
  <c r="N5" i="53"/>
  <c r="D184" i="50"/>
  <c r="C184" i="50"/>
  <c r="H184" i="50"/>
  <c r="M184" i="50"/>
  <c r="D185" i="50"/>
  <c r="C185" i="50"/>
  <c r="H185" i="50"/>
  <c r="M185" i="50"/>
  <c r="C186" i="50"/>
  <c r="H186" i="50"/>
  <c r="J186" i="50"/>
  <c r="M186" i="50"/>
  <c r="C187" i="50"/>
  <c r="H187" i="50"/>
  <c r="I187" i="50"/>
  <c r="J187" i="50"/>
  <c r="M187" i="50"/>
  <c r="C188" i="50"/>
  <c r="H188" i="50"/>
  <c r="M188" i="50"/>
  <c r="C189" i="50"/>
  <c r="H189" i="50"/>
  <c r="J189" i="50"/>
  <c r="M189" i="50"/>
  <c r="C190" i="50"/>
  <c r="H190" i="50"/>
  <c r="M190" i="50"/>
  <c r="C191" i="50"/>
  <c r="H191" i="50"/>
  <c r="M191" i="50"/>
  <c r="C192" i="50"/>
  <c r="H192" i="50"/>
  <c r="I192" i="50"/>
  <c r="J192" i="50"/>
  <c r="K192" i="50"/>
  <c r="M192" i="50"/>
  <c r="D193" i="50"/>
  <c r="C193" i="50"/>
  <c r="H193" i="50"/>
  <c r="M193" i="50"/>
  <c r="C194" i="50"/>
  <c r="H194" i="50"/>
  <c r="I194" i="50"/>
  <c r="M194" i="50"/>
  <c r="C195" i="50"/>
  <c r="H195" i="50"/>
  <c r="J195" i="50"/>
  <c r="M195" i="50"/>
  <c r="C196" i="50"/>
  <c r="H196" i="50"/>
  <c r="I196" i="50"/>
  <c r="M196" i="50"/>
  <c r="C197" i="50"/>
  <c r="H197" i="50"/>
  <c r="M197" i="50"/>
  <c r="C198" i="50"/>
  <c r="H198" i="50"/>
  <c r="I198" i="50"/>
  <c r="M198" i="50"/>
  <c r="P4" i="53"/>
  <c r="P5" i="53"/>
  <c r="P8" i="53"/>
  <c r="D150" i="50"/>
  <c r="C150" i="50"/>
  <c r="H150" i="50"/>
  <c r="I150" i="50"/>
  <c r="J150" i="50"/>
  <c r="M150" i="50"/>
  <c r="D151" i="50"/>
  <c r="C151" i="50"/>
  <c r="H151" i="50"/>
  <c r="J151" i="50"/>
  <c r="I151" i="50"/>
  <c r="L151" i="50"/>
  <c r="M151" i="50"/>
  <c r="C152" i="50"/>
  <c r="H152" i="50"/>
  <c r="M152" i="50"/>
  <c r="C153" i="50"/>
  <c r="H153" i="50"/>
  <c r="M153" i="50"/>
  <c r="D154" i="50"/>
  <c r="C154" i="50"/>
  <c r="H154" i="50"/>
  <c r="I154" i="50"/>
  <c r="M154" i="50"/>
  <c r="C155" i="50"/>
  <c r="H155" i="50"/>
  <c r="M155" i="50"/>
  <c r="C156" i="50"/>
  <c r="H156" i="50"/>
  <c r="J156" i="50"/>
  <c r="I156" i="50"/>
  <c r="L156" i="50"/>
  <c r="M156" i="50"/>
  <c r="C157" i="50"/>
  <c r="H157" i="50"/>
  <c r="M157" i="50"/>
  <c r="C158" i="50"/>
  <c r="H158" i="50"/>
  <c r="J158" i="50"/>
  <c r="M158" i="50"/>
  <c r="D159" i="50"/>
  <c r="C159" i="50"/>
  <c r="H159" i="50"/>
  <c r="I159" i="50"/>
  <c r="M159" i="50"/>
  <c r="C160" i="50"/>
  <c r="H160" i="50"/>
  <c r="M160" i="50"/>
  <c r="C161" i="50"/>
  <c r="H161" i="50"/>
  <c r="M161" i="50"/>
  <c r="C162" i="50"/>
  <c r="H162" i="50"/>
  <c r="J162" i="50"/>
  <c r="M162" i="50"/>
  <c r="C163" i="50"/>
  <c r="H163" i="50"/>
  <c r="I163" i="50"/>
  <c r="M163" i="50"/>
  <c r="C164" i="50"/>
  <c r="H164" i="50"/>
  <c r="J164" i="50"/>
  <c r="M164" i="50"/>
  <c r="C216" i="2"/>
  <c r="C18" i="36"/>
  <c r="C20" i="36"/>
  <c r="D37" i="2"/>
  <c r="D38" i="2"/>
  <c r="D42" i="2"/>
  <c r="D43" i="2"/>
  <c r="D46" i="2"/>
  <c r="D47" i="2"/>
  <c r="D71" i="54"/>
  <c r="D74" i="54"/>
  <c r="D75" i="54"/>
  <c r="D76" i="54"/>
  <c r="D78" i="54"/>
  <c r="D79" i="54"/>
  <c r="D92" i="54"/>
  <c r="D93" i="54"/>
  <c r="C48" i="50"/>
  <c r="H48" i="50"/>
  <c r="M48" i="50"/>
  <c r="C49" i="50"/>
  <c r="H49" i="50"/>
  <c r="M49" i="50"/>
  <c r="C50" i="50"/>
  <c r="H50" i="50"/>
  <c r="M50" i="50"/>
  <c r="C51" i="50"/>
  <c r="H51" i="50"/>
  <c r="I51" i="50"/>
  <c r="J51" i="50"/>
  <c r="M51" i="50"/>
  <c r="C52" i="50"/>
  <c r="H52" i="50"/>
  <c r="M52" i="50"/>
  <c r="C53" i="50"/>
  <c r="H53" i="50"/>
  <c r="J53" i="50"/>
  <c r="M53" i="50"/>
  <c r="C54" i="50"/>
  <c r="H54" i="50"/>
  <c r="I54" i="50"/>
  <c r="M54" i="50"/>
  <c r="C55" i="50"/>
  <c r="H55" i="50"/>
  <c r="J55" i="50"/>
  <c r="I55" i="50"/>
  <c r="K55" i="50"/>
  <c r="M55" i="50"/>
  <c r="C56" i="50"/>
  <c r="H56" i="50"/>
  <c r="M56" i="50"/>
  <c r="C57" i="50"/>
  <c r="H57" i="50"/>
  <c r="J57" i="50"/>
  <c r="M57" i="50"/>
  <c r="C58" i="50"/>
  <c r="H58" i="50"/>
  <c r="I58" i="50"/>
  <c r="M58" i="50"/>
  <c r="C59" i="50"/>
  <c r="H59" i="50"/>
  <c r="M59" i="50"/>
  <c r="C60" i="50"/>
  <c r="H60" i="50"/>
  <c r="M60" i="50"/>
  <c r="C61" i="50"/>
  <c r="H61" i="50"/>
  <c r="J61" i="50"/>
  <c r="M61" i="50"/>
  <c r="C62" i="50"/>
  <c r="H62" i="50"/>
  <c r="M62" i="50"/>
  <c r="C7" i="34"/>
  <c r="D209" i="2"/>
  <c r="D48" i="2"/>
  <c r="E32" i="2"/>
  <c r="F32" i="2"/>
  <c r="G32" i="2"/>
  <c r="E35" i="2"/>
  <c r="F35" i="2"/>
  <c r="E36" i="2"/>
  <c r="F36" i="2"/>
  <c r="E37" i="2"/>
  <c r="E38" i="2"/>
  <c r="C219" i="2"/>
  <c r="E42" i="2"/>
  <c r="C42" i="2"/>
  <c r="F42" i="2"/>
  <c r="D44" i="2"/>
  <c r="F44" i="2"/>
  <c r="D45" i="2"/>
  <c r="E45" i="2"/>
  <c r="C45" i="2"/>
  <c r="F45" i="2"/>
  <c r="G45" i="2"/>
  <c r="E47" i="2"/>
  <c r="D104" i="54"/>
  <c r="D107" i="54"/>
  <c r="D108" i="54"/>
  <c r="D109" i="54"/>
  <c r="D111" i="54"/>
  <c r="D112" i="54"/>
  <c r="D125" i="54"/>
  <c r="D126" i="54"/>
  <c r="D82" i="50"/>
  <c r="C82" i="50"/>
  <c r="H82" i="50"/>
  <c r="M82" i="50"/>
  <c r="D83" i="50"/>
  <c r="C83" i="50"/>
  <c r="H83" i="50"/>
  <c r="M83" i="50"/>
  <c r="C84" i="50"/>
  <c r="H84" i="50"/>
  <c r="M84" i="50"/>
  <c r="C85" i="50"/>
  <c r="H85" i="50"/>
  <c r="I85" i="50"/>
  <c r="M85" i="50"/>
  <c r="C86" i="50"/>
  <c r="H86" i="50"/>
  <c r="I86" i="50"/>
  <c r="M86" i="50"/>
  <c r="D87" i="50"/>
  <c r="C87" i="50"/>
  <c r="H87" i="50"/>
  <c r="I87" i="50"/>
  <c r="J87" i="50"/>
  <c r="K87" i="50"/>
  <c r="M87" i="50"/>
  <c r="C88" i="50"/>
  <c r="H88" i="50"/>
  <c r="I88" i="50"/>
  <c r="M88" i="50"/>
  <c r="C89" i="50"/>
  <c r="H89" i="50"/>
  <c r="J89" i="50"/>
  <c r="M89" i="50"/>
  <c r="C90" i="50"/>
  <c r="H90" i="50"/>
  <c r="I90" i="50"/>
  <c r="J90" i="50"/>
  <c r="M90" i="50"/>
  <c r="D91" i="50"/>
  <c r="C91" i="50"/>
  <c r="H91" i="50"/>
  <c r="I91" i="50"/>
  <c r="M91" i="50"/>
  <c r="C92" i="50"/>
  <c r="H92" i="50"/>
  <c r="M92" i="50"/>
  <c r="C93" i="50"/>
  <c r="H93" i="50"/>
  <c r="I93" i="50"/>
  <c r="M93" i="50"/>
  <c r="C94" i="50"/>
  <c r="H94" i="50"/>
  <c r="I94" i="50"/>
  <c r="J94" i="50"/>
  <c r="M94" i="50"/>
  <c r="C95" i="50"/>
  <c r="H95" i="50"/>
  <c r="J95" i="50"/>
  <c r="M95" i="50"/>
  <c r="C96" i="50"/>
  <c r="H96" i="50"/>
  <c r="M96" i="50"/>
  <c r="F40" i="35"/>
  <c r="D104" i="2"/>
  <c r="C98" i="2"/>
  <c r="F98" i="2"/>
  <c r="D100" i="2"/>
  <c r="F100" i="2"/>
  <c r="D101" i="2"/>
  <c r="E103" i="2"/>
  <c r="F103" i="2"/>
  <c r="D137" i="54"/>
  <c r="D140" i="54"/>
  <c r="D141" i="54"/>
  <c r="C142" i="54"/>
  <c r="D142" i="54"/>
  <c r="D144" i="54"/>
  <c r="D145" i="54"/>
  <c r="D158" i="54"/>
  <c r="D159" i="54"/>
  <c r="D116" i="50"/>
  <c r="C116" i="50"/>
  <c r="H116" i="50"/>
  <c r="J116" i="50"/>
  <c r="I116" i="50"/>
  <c r="L116" i="50"/>
  <c r="M116" i="50"/>
  <c r="D117" i="50"/>
  <c r="C117" i="50"/>
  <c r="H117" i="50"/>
  <c r="I117" i="50"/>
  <c r="J117" i="50"/>
  <c r="K117" i="50"/>
  <c r="M117" i="50"/>
  <c r="C118" i="50"/>
  <c r="H118" i="50"/>
  <c r="M118" i="50"/>
  <c r="C119" i="50"/>
  <c r="H119" i="50"/>
  <c r="I119" i="50"/>
  <c r="M119" i="50"/>
  <c r="D120" i="50"/>
  <c r="C120" i="50"/>
  <c r="H120" i="50"/>
  <c r="M120" i="50"/>
  <c r="C121" i="50"/>
  <c r="H121" i="50"/>
  <c r="I121" i="50"/>
  <c r="M121" i="50"/>
  <c r="C122" i="50"/>
  <c r="H122" i="50"/>
  <c r="M122" i="50"/>
  <c r="C123" i="50"/>
  <c r="H123" i="50"/>
  <c r="M123" i="50"/>
  <c r="C124" i="50"/>
  <c r="H124" i="50"/>
  <c r="J124" i="50"/>
  <c r="I124" i="50"/>
  <c r="M124" i="50"/>
  <c r="D125" i="50"/>
  <c r="C125" i="50"/>
  <c r="H125" i="50"/>
  <c r="I125" i="50"/>
  <c r="M125" i="50"/>
  <c r="C126" i="50"/>
  <c r="H126" i="50"/>
  <c r="J126" i="50"/>
  <c r="M126" i="50"/>
  <c r="C127" i="50"/>
  <c r="H127" i="50"/>
  <c r="M127" i="50"/>
  <c r="C128" i="50"/>
  <c r="H128" i="50"/>
  <c r="M128" i="50"/>
  <c r="C129" i="50"/>
  <c r="H129" i="50"/>
  <c r="I129" i="50"/>
  <c r="J129" i="50"/>
  <c r="K129" i="50"/>
  <c r="M129" i="50"/>
  <c r="C130" i="50"/>
  <c r="H130" i="50"/>
  <c r="J130" i="50"/>
  <c r="M130" i="50"/>
  <c r="D132" i="2"/>
  <c r="D128" i="2"/>
  <c r="F128" i="2"/>
  <c r="D129" i="2"/>
  <c r="D170" i="54"/>
  <c r="D173" i="54"/>
  <c r="D174" i="54"/>
  <c r="D175" i="54"/>
  <c r="D177" i="54"/>
  <c r="D178" i="54"/>
  <c r="D191" i="54"/>
  <c r="D192" i="54"/>
  <c r="K5" i="53"/>
  <c r="K10" i="53"/>
  <c r="R40" i="70"/>
  <c r="S40" i="70"/>
  <c r="U40" i="70"/>
  <c r="R41" i="70"/>
  <c r="S41" i="70"/>
  <c r="U41" i="70"/>
  <c r="R42" i="70"/>
  <c r="S42" i="70"/>
  <c r="U42" i="70"/>
  <c r="R32" i="70"/>
  <c r="S32" i="70"/>
  <c r="U32" i="70"/>
  <c r="R33" i="70"/>
  <c r="S33" i="70"/>
  <c r="U33" i="70"/>
  <c r="R34" i="70"/>
  <c r="S34" i="70"/>
  <c r="U34" i="70"/>
  <c r="C86" i="70"/>
  <c r="E86" i="70"/>
  <c r="D86" i="70"/>
  <c r="F86" i="70"/>
  <c r="C87" i="70"/>
  <c r="E87" i="70"/>
  <c r="D87" i="70"/>
  <c r="F87" i="70"/>
  <c r="G87" i="70"/>
  <c r="C88" i="70"/>
  <c r="E88" i="70"/>
  <c r="D88" i="70"/>
  <c r="F88" i="70"/>
  <c r="C89" i="70"/>
  <c r="E89" i="70"/>
  <c r="D89" i="70"/>
  <c r="F89" i="70"/>
  <c r="G89" i="70"/>
  <c r="C90" i="70"/>
  <c r="E90" i="70"/>
  <c r="D90" i="70"/>
  <c r="F90" i="70"/>
  <c r="G90" i="70"/>
  <c r="R22" i="70"/>
  <c r="S22" i="70"/>
  <c r="U22" i="70"/>
  <c r="R23" i="70"/>
  <c r="S23" i="70"/>
  <c r="U23" i="70"/>
  <c r="R24" i="70"/>
  <c r="S24" i="70"/>
  <c r="U24" i="70"/>
  <c r="U25" i="70"/>
  <c r="R14" i="70"/>
  <c r="S14" i="70"/>
  <c r="U14" i="70"/>
  <c r="R15" i="70"/>
  <c r="S15" i="70"/>
  <c r="U15" i="70"/>
  <c r="R16" i="70"/>
  <c r="S16" i="70"/>
  <c r="U16" i="70"/>
  <c r="C46" i="70"/>
  <c r="E46" i="70"/>
  <c r="D46" i="70"/>
  <c r="F46" i="70"/>
  <c r="C47" i="70"/>
  <c r="E47" i="70"/>
  <c r="D47" i="70"/>
  <c r="F47" i="70"/>
  <c r="G47" i="70"/>
  <c r="C48" i="70"/>
  <c r="E48" i="70"/>
  <c r="D48" i="70"/>
  <c r="F48" i="70"/>
  <c r="G48" i="70"/>
  <c r="C49" i="70"/>
  <c r="E49" i="70"/>
  <c r="D49" i="70"/>
  <c r="F49" i="70"/>
  <c r="G49" i="70"/>
  <c r="C50" i="70"/>
  <c r="E50" i="70"/>
  <c r="D50" i="70"/>
  <c r="F50" i="70"/>
  <c r="V5" i="71"/>
  <c r="V10" i="71"/>
  <c r="Q28" i="71"/>
  <c r="Q29" i="71"/>
  <c r="S29" i="71"/>
  <c r="Q30" i="71"/>
  <c r="S30" i="71"/>
  <c r="C18" i="71"/>
  <c r="D22" i="71"/>
  <c r="D26" i="71"/>
  <c r="E26" i="71"/>
  <c r="E27" i="71"/>
  <c r="D28" i="71"/>
  <c r="E35" i="71"/>
  <c r="C36" i="71"/>
  <c r="G18" i="70"/>
  <c r="F18" i="70"/>
  <c r="E18" i="70"/>
  <c r="G16" i="70"/>
  <c r="F16" i="70"/>
  <c r="E16" i="70"/>
  <c r="C14" i="70"/>
  <c r="G11" i="70"/>
  <c r="F11" i="70"/>
  <c r="E11" i="70"/>
  <c r="G9" i="70"/>
  <c r="F9" i="70"/>
  <c r="E9" i="70"/>
  <c r="C7" i="70"/>
  <c r="K3" i="8"/>
  <c r="K4" i="8"/>
  <c r="H59" i="8"/>
  <c r="H60" i="8"/>
  <c r="D61" i="8"/>
  <c r="H61" i="8"/>
  <c r="G59" i="8"/>
  <c r="G60" i="8"/>
  <c r="D8" i="63"/>
  <c r="L6" i="53"/>
  <c r="L4" i="53"/>
  <c r="L5" i="53"/>
  <c r="L8" i="53"/>
  <c r="L9" i="53"/>
  <c r="I10" i="53"/>
  <c r="J6" i="53"/>
  <c r="J4" i="53"/>
  <c r="J8" i="53"/>
  <c r="I8" i="53"/>
  <c r="H8" i="53"/>
  <c r="G8" i="53"/>
  <c r="F8" i="53"/>
  <c r="E8" i="53"/>
  <c r="D8" i="53"/>
  <c r="M8" i="53"/>
  <c r="Q8" i="53"/>
  <c r="O8" i="53"/>
  <c r="E10" i="53"/>
  <c r="L170" i="50"/>
  <c r="L136" i="50"/>
  <c r="L102" i="50"/>
  <c r="L68" i="50"/>
  <c r="L34" i="50"/>
  <c r="F5" i="38"/>
  <c r="L9" i="38"/>
  <c r="C29" i="38"/>
  <c r="D26" i="38"/>
  <c r="D29" i="38"/>
  <c r="E26" i="38"/>
  <c r="F26" i="38"/>
  <c r="G26" i="38"/>
  <c r="H26" i="38"/>
  <c r="I26" i="38"/>
  <c r="J26" i="38"/>
  <c r="K26" i="38"/>
  <c r="L26" i="38"/>
  <c r="M26" i="38"/>
  <c r="P23" i="38"/>
  <c r="P24" i="38"/>
  <c r="P25" i="38"/>
  <c r="P26" i="38"/>
  <c r="C49" i="11"/>
  <c r="C90" i="11"/>
  <c r="C131" i="11"/>
  <c r="C172" i="11"/>
  <c r="C213" i="11"/>
  <c r="I4" i="62"/>
  <c r="J4" i="62"/>
  <c r="F13" i="62"/>
  <c r="G13" i="62"/>
  <c r="E13" i="62"/>
  <c r="G117" i="25"/>
  <c r="G116" i="25"/>
  <c r="G115" i="25"/>
  <c r="G114" i="25"/>
  <c r="G113" i="25"/>
  <c r="G112" i="25"/>
  <c r="G111" i="25"/>
  <c r="G110" i="25"/>
  <c r="G109" i="25"/>
  <c r="G107" i="25"/>
  <c r="G106" i="25"/>
  <c r="G105" i="25"/>
  <c r="G94" i="25"/>
  <c r="G93" i="25"/>
  <c r="G92" i="25"/>
  <c r="G91" i="25"/>
  <c r="G90" i="25"/>
  <c r="G89" i="25"/>
  <c r="G88" i="25"/>
  <c r="G87" i="25"/>
  <c r="G86" i="25"/>
  <c r="G84" i="25"/>
  <c r="G83" i="25"/>
  <c r="G82" i="25"/>
  <c r="G71" i="25"/>
  <c r="G70" i="25"/>
  <c r="G69" i="25"/>
  <c r="G68" i="25"/>
  <c r="G67" i="25"/>
  <c r="G66" i="25"/>
  <c r="G65" i="25"/>
  <c r="G64" i="25"/>
  <c r="G63" i="25"/>
  <c r="G61" i="25"/>
  <c r="G60" i="25"/>
  <c r="G59" i="25"/>
  <c r="G48" i="25"/>
  <c r="G47" i="25"/>
  <c r="G46" i="25"/>
  <c r="G45" i="25"/>
  <c r="G44" i="25"/>
  <c r="G43" i="25"/>
  <c r="G42" i="25"/>
  <c r="G41" i="25"/>
  <c r="G40" i="25"/>
  <c r="G38" i="25"/>
  <c r="G37" i="25"/>
  <c r="G36" i="25"/>
  <c r="I177" i="2"/>
  <c r="N8" i="58"/>
  <c r="N10" i="58"/>
  <c r="N9" i="58"/>
  <c r="C30" i="58"/>
  <c r="N14" i="58"/>
  <c r="C33" i="58"/>
  <c r="N15" i="58"/>
  <c r="R8" i="58"/>
  <c r="Q8" i="58"/>
  <c r="Q10" i="58"/>
  <c r="P8" i="58"/>
  <c r="P10" i="58"/>
  <c r="C86" i="58"/>
  <c r="C104" i="58"/>
  <c r="C106" i="58"/>
  <c r="R14" i="58"/>
  <c r="Q14" i="58"/>
  <c r="C110" i="58"/>
  <c r="C87" i="58"/>
  <c r="P14" i="58"/>
  <c r="C91" i="58"/>
  <c r="O8" i="58"/>
  <c r="C68" i="58"/>
  <c r="O14" i="58"/>
  <c r="C49" i="58"/>
  <c r="R6" i="53"/>
  <c r="Q10" i="53"/>
  <c r="P6" i="53"/>
  <c r="P10" i="53"/>
  <c r="O10" i="53"/>
  <c r="N6" i="53"/>
  <c r="M10" i="53"/>
  <c r="H10" i="53"/>
  <c r="G10" i="53"/>
  <c r="F10" i="53"/>
  <c r="D10" i="53"/>
  <c r="J5" i="57"/>
  <c r="J6" i="57"/>
  <c r="J7" i="57"/>
  <c r="J8" i="57"/>
  <c r="J9" i="57"/>
  <c r="B35" i="57"/>
  <c r="B29" i="57"/>
  <c r="B30" i="57"/>
  <c r="B22" i="57"/>
  <c r="B23" i="57"/>
  <c r="B24" i="57"/>
  <c r="B14" i="57"/>
  <c r="B15" i="57"/>
  <c r="B16" i="57"/>
  <c r="B17" i="57"/>
  <c r="D44" i="39"/>
  <c r="O31" i="40"/>
  <c r="AI34" i="40"/>
  <c r="R23" i="40"/>
  <c r="AL23" i="40"/>
  <c r="R75" i="40"/>
  <c r="AK75" i="40"/>
  <c r="AK77" i="40"/>
  <c r="AL71" i="40"/>
  <c r="AL75" i="40"/>
  <c r="Q126" i="40"/>
  <c r="Q128" i="40"/>
  <c r="R122" i="40"/>
  <c r="R126" i="40"/>
  <c r="Q25" i="40"/>
  <c r="O129" i="40"/>
  <c r="O127" i="40"/>
  <c r="O126" i="40"/>
  <c r="O122" i="40"/>
  <c r="AI78" i="40"/>
  <c r="AI76" i="40"/>
  <c r="AI75" i="40"/>
  <c r="AI71" i="40"/>
  <c r="O71" i="40"/>
  <c r="O75" i="40"/>
  <c r="O77" i="40"/>
  <c r="AI58" i="40"/>
  <c r="O58" i="40"/>
  <c r="AI57" i="40"/>
  <c r="O57" i="40"/>
  <c r="AI56" i="40"/>
  <c r="O56" i="40"/>
  <c r="C13" i="36"/>
  <c r="C12" i="36"/>
  <c r="D192" i="38"/>
  <c r="P203" i="38"/>
  <c r="P189" i="38"/>
  <c r="P188" i="38"/>
  <c r="D159" i="38"/>
  <c r="P170" i="38"/>
  <c r="P156" i="38"/>
  <c r="P155" i="38"/>
  <c r="D126" i="38"/>
  <c r="P137" i="38"/>
  <c r="P123" i="38"/>
  <c r="P122" i="38"/>
  <c r="D93" i="38"/>
  <c r="P104" i="38"/>
  <c r="P90" i="38"/>
  <c r="P89" i="38"/>
  <c r="D61" i="38"/>
  <c r="P72" i="38"/>
  <c r="P58" i="38"/>
  <c r="P57" i="38"/>
  <c r="D38" i="38"/>
  <c r="P39" i="38"/>
  <c r="R10" i="40"/>
  <c r="Q14" i="40"/>
  <c r="Q10" i="40"/>
  <c r="AI25" i="40"/>
  <c r="AI23" i="40"/>
  <c r="AI19" i="40"/>
  <c r="O25" i="40"/>
  <c r="O23" i="40"/>
  <c r="O19" i="40"/>
  <c r="AL66" i="40"/>
  <c r="AL62" i="40"/>
  <c r="AK66" i="40"/>
  <c r="AK62" i="40"/>
  <c r="R129" i="40"/>
  <c r="R128" i="40"/>
  <c r="Q129" i="40"/>
  <c r="Q122" i="40"/>
  <c r="R117" i="40"/>
  <c r="R113" i="40"/>
  <c r="Q117" i="40"/>
  <c r="Q113" i="40"/>
  <c r="AL78" i="40"/>
  <c r="AL77" i="40"/>
  <c r="AK78" i="40"/>
  <c r="AK71" i="40"/>
  <c r="R71" i="40"/>
  <c r="R77" i="40"/>
  <c r="Q77" i="40"/>
  <c r="Q75" i="40"/>
  <c r="Q71" i="40"/>
  <c r="R25" i="40"/>
  <c r="R19" i="40"/>
  <c r="Q23" i="40"/>
  <c r="Q19" i="40"/>
  <c r="AL25" i="40"/>
  <c r="AL19" i="40"/>
  <c r="AK25" i="40"/>
  <c r="AK23" i="40"/>
  <c r="AK19" i="40"/>
  <c r="O109" i="40"/>
  <c r="O108" i="40"/>
  <c r="O107" i="40"/>
  <c r="R66" i="40"/>
  <c r="R62" i="40"/>
  <c r="H38" i="35"/>
  <c r="G40" i="35"/>
  <c r="F41" i="35"/>
  <c r="F37" i="35"/>
  <c r="E37" i="35"/>
  <c r="D37" i="35"/>
  <c r="O33" i="40"/>
  <c r="F36" i="35"/>
  <c r="I48" i="50"/>
  <c r="J48" i="50"/>
  <c r="I120" i="50"/>
  <c r="J120" i="50"/>
  <c r="K120" i="50"/>
  <c r="D5" i="56"/>
  <c r="I50" i="50"/>
  <c r="J50" i="50"/>
  <c r="K50" i="50"/>
  <c r="I59" i="50"/>
  <c r="J59" i="50"/>
  <c r="J123" i="50"/>
  <c r="I123" i="50"/>
  <c r="K123" i="50"/>
  <c r="D123" i="54"/>
  <c r="H211" i="2"/>
  <c r="D162" i="2"/>
  <c r="D119" i="50"/>
  <c r="J196" i="50"/>
  <c r="E179" i="2"/>
  <c r="P9" i="53"/>
  <c r="C20" i="34"/>
  <c r="C21" i="34"/>
  <c r="F169" i="2"/>
  <c r="C52" i="58"/>
  <c r="I53" i="50"/>
  <c r="J163" i="50"/>
  <c r="J194" i="50"/>
  <c r="D189" i="54"/>
  <c r="J125" i="50"/>
  <c r="D156" i="54"/>
  <c r="J198" i="50"/>
  <c r="G20" i="2"/>
  <c r="J58" i="50"/>
  <c r="D90" i="54"/>
  <c r="I164" i="50"/>
  <c r="D62" i="50"/>
  <c r="D53" i="50"/>
  <c r="O130" i="40"/>
  <c r="AI79" i="40"/>
  <c r="AL79" i="40"/>
  <c r="AK27" i="40"/>
  <c r="AI27" i="40"/>
  <c r="O27" i="40"/>
  <c r="R27" i="40"/>
  <c r="AL27" i="40"/>
  <c r="Q79" i="40"/>
  <c r="R79" i="40"/>
  <c r="AK79" i="40"/>
  <c r="Q130" i="40"/>
  <c r="R130" i="40"/>
  <c r="Q27" i="40"/>
  <c r="O79" i="40"/>
  <c r="R26" i="40"/>
  <c r="AK26" i="40"/>
  <c r="AL26" i="40"/>
  <c r="Q78" i="40"/>
  <c r="R78" i="40"/>
  <c r="Q26" i="40"/>
  <c r="O78" i="40"/>
  <c r="AI26" i="40"/>
  <c r="O26" i="40"/>
  <c r="H41" i="35"/>
  <c r="G41" i="35"/>
  <c r="G37" i="35"/>
  <c r="I126" i="50"/>
  <c r="K126" i="50"/>
  <c r="L10" i="53"/>
  <c r="G103" i="2"/>
  <c r="F38" i="2"/>
  <c r="I57" i="50"/>
  <c r="J185" i="50"/>
  <c r="I185" i="50"/>
  <c r="K9" i="53"/>
  <c r="C34" i="39"/>
  <c r="K8" i="53"/>
  <c r="I84" i="50"/>
  <c r="J84" i="50"/>
  <c r="L84" i="50"/>
  <c r="F37" i="2"/>
  <c r="G37" i="2"/>
  <c r="J152" i="50"/>
  <c r="I152" i="50"/>
  <c r="K152" i="50"/>
  <c r="C71" i="58"/>
  <c r="J88" i="50"/>
  <c r="I82" i="50"/>
  <c r="J82" i="50"/>
  <c r="K82" i="50"/>
  <c r="L82" i="50"/>
  <c r="J49" i="50"/>
  <c r="I49" i="50"/>
  <c r="L49" i="50"/>
  <c r="I184" i="50"/>
  <c r="J184" i="50"/>
  <c r="S28" i="71"/>
  <c r="F39" i="35"/>
  <c r="I92" i="50"/>
  <c r="J92" i="50"/>
  <c r="L92" i="50"/>
  <c r="J153" i="50"/>
  <c r="I153" i="50"/>
  <c r="L153" i="50"/>
  <c r="K153" i="50"/>
  <c r="I62" i="50"/>
  <c r="J62" i="50"/>
  <c r="L62" i="50"/>
  <c r="J54" i="50"/>
  <c r="I190" i="50"/>
  <c r="J190" i="50"/>
  <c r="L190" i="50"/>
  <c r="I188" i="50"/>
  <c r="J188" i="50"/>
  <c r="L188" i="50"/>
  <c r="F49" i="8"/>
  <c r="H49" i="8"/>
  <c r="F17" i="8"/>
  <c r="I60" i="50"/>
  <c r="J60" i="50"/>
  <c r="I52" i="50"/>
  <c r="J52" i="50"/>
  <c r="L52" i="50"/>
  <c r="I155" i="50"/>
  <c r="J155" i="50"/>
  <c r="L155" i="50"/>
  <c r="R8" i="53"/>
  <c r="J159" i="50"/>
  <c r="L192" i="50"/>
  <c r="I189" i="50"/>
  <c r="N9" i="53"/>
  <c r="C8" i="34"/>
  <c r="E36" i="35"/>
  <c r="H36" i="35"/>
  <c r="H39" i="35"/>
  <c r="R11" i="40"/>
  <c r="AK11" i="40"/>
  <c r="AL11" i="40"/>
  <c r="R63" i="40"/>
  <c r="Q11" i="40"/>
  <c r="R14" i="40"/>
  <c r="F75" i="2"/>
  <c r="G75" i="2"/>
  <c r="G60" i="2"/>
  <c r="Q66" i="40"/>
  <c r="AK10" i="40"/>
  <c r="AL10" i="40"/>
  <c r="Q62" i="40"/>
  <c r="E66" i="2"/>
  <c r="F20" i="39"/>
  <c r="C73" i="35"/>
  <c r="K59" i="50"/>
  <c r="Q63" i="40"/>
  <c r="Q114" i="40"/>
  <c r="AL63" i="40"/>
  <c r="AK63" i="40"/>
  <c r="R114" i="40"/>
  <c r="Q61" i="40"/>
  <c r="AL61" i="40"/>
  <c r="AK9" i="40"/>
  <c r="AK61" i="40"/>
  <c r="R112" i="40"/>
  <c r="Q9" i="40"/>
  <c r="AL9" i="40"/>
  <c r="R61" i="40"/>
  <c r="Q112" i="40"/>
  <c r="R9" i="40"/>
  <c r="AI20" i="40"/>
  <c r="O20" i="40"/>
  <c r="R20" i="40"/>
  <c r="AK20" i="40"/>
  <c r="AL20" i="40"/>
  <c r="Q72" i="40"/>
  <c r="R72" i="40"/>
  <c r="AK72" i="40"/>
  <c r="AL72" i="40"/>
  <c r="Q123" i="40"/>
  <c r="R123" i="40"/>
  <c r="Q20" i="40"/>
  <c r="O72" i="40"/>
  <c r="O123" i="40"/>
  <c r="AI72" i="40"/>
  <c r="Q65" i="40"/>
  <c r="R65" i="40"/>
  <c r="AK65" i="40"/>
  <c r="R116" i="40"/>
  <c r="R13" i="40"/>
  <c r="Q116" i="40"/>
  <c r="Q13" i="40"/>
  <c r="AL65" i="40"/>
  <c r="R24" i="40"/>
  <c r="AK24" i="40"/>
  <c r="AL24" i="40"/>
  <c r="Q76" i="40"/>
  <c r="R76" i="40"/>
  <c r="AK76" i="40"/>
  <c r="AL76" i="40"/>
  <c r="Q127" i="40"/>
  <c r="R127" i="40"/>
  <c r="Q24" i="40"/>
  <c r="O76" i="40"/>
  <c r="AI24" i="40"/>
  <c r="O24" i="40"/>
  <c r="O128" i="40"/>
  <c r="AI77" i="40"/>
  <c r="O124" i="40"/>
  <c r="AI73" i="40"/>
  <c r="AI21" i="40"/>
  <c r="R21" i="40"/>
  <c r="AK21" i="40"/>
  <c r="AL21" i="40"/>
  <c r="Q73" i="40"/>
  <c r="R73" i="40"/>
  <c r="AK73" i="40"/>
  <c r="AL73" i="40"/>
  <c r="Q124" i="40"/>
  <c r="R124" i="40"/>
  <c r="Q21" i="40"/>
  <c r="O73" i="40"/>
  <c r="O21" i="40"/>
  <c r="AK8" i="40"/>
  <c r="AK60" i="40"/>
  <c r="R111" i="40"/>
  <c r="Q111" i="40"/>
  <c r="AL60" i="40"/>
  <c r="G38" i="35"/>
  <c r="R12" i="40"/>
  <c r="Q12" i="40"/>
  <c r="AL12" i="40"/>
  <c r="Q64" i="40"/>
  <c r="R64" i="40"/>
  <c r="AK14" i="40"/>
  <c r="AL14" i="40"/>
  <c r="Q8" i="40"/>
  <c r="D36" i="35"/>
  <c r="K62" i="50"/>
  <c r="K184" i="50"/>
  <c r="R8" i="40"/>
  <c r="H40" i="35"/>
  <c r="F19" i="28"/>
  <c r="F6" i="70"/>
  <c r="F4" i="28"/>
  <c r="AI18" i="40"/>
  <c r="R18" i="40"/>
  <c r="AL18" i="40"/>
  <c r="R70" i="40"/>
  <c r="AL70" i="40"/>
  <c r="R121" i="40"/>
  <c r="AI70" i="40"/>
  <c r="O70" i="40"/>
  <c r="AK18" i="40"/>
  <c r="AK70" i="40"/>
  <c r="Q18" i="40"/>
  <c r="O18" i="40"/>
  <c r="Q70" i="40"/>
  <c r="Q121" i="40"/>
  <c r="O121" i="40"/>
  <c r="Q60" i="40"/>
  <c r="F66" i="2"/>
  <c r="AI22" i="40"/>
  <c r="R22" i="40"/>
  <c r="AL22" i="40"/>
  <c r="R74" i="40"/>
  <c r="AL74" i="40"/>
  <c r="R125" i="40"/>
  <c r="AI74" i="40"/>
  <c r="O74" i="40"/>
  <c r="AK22" i="40"/>
  <c r="AK74" i="40"/>
  <c r="Q22" i="40"/>
  <c r="O22" i="40"/>
  <c r="Q74" i="40"/>
  <c r="Q125" i="40"/>
  <c r="O125" i="40"/>
  <c r="AL8" i="40"/>
  <c r="G36" i="35"/>
  <c r="Q31" i="40"/>
  <c r="G49" i="8"/>
  <c r="K188" i="50"/>
  <c r="D6" i="70"/>
  <c r="D19" i="28"/>
  <c r="D4" i="28"/>
  <c r="G19" i="28"/>
  <c r="G6" i="70"/>
  <c r="G4" i="28"/>
  <c r="E6" i="70"/>
  <c r="E19" i="28"/>
  <c r="E4" i="28"/>
  <c r="R60" i="40"/>
  <c r="G39" i="35"/>
  <c r="C6" i="70"/>
  <c r="C4" i="28"/>
  <c r="C19" i="28"/>
  <c r="AK13" i="40"/>
  <c r="AL13" i="40"/>
  <c r="AK12" i="40"/>
  <c r="P107" i="40"/>
  <c r="AJ56" i="40"/>
  <c r="P56" i="40"/>
  <c r="Q115" i="40"/>
  <c r="AJ58" i="40"/>
  <c r="P58" i="40"/>
  <c r="P109" i="40"/>
  <c r="C41" i="50"/>
  <c r="K6" i="71"/>
  <c r="Q6" i="71"/>
  <c r="C29" i="28"/>
  <c r="D42" i="35"/>
  <c r="D6" i="66"/>
  <c r="C14" i="28"/>
  <c r="AK64" i="40"/>
  <c r="P57" i="40"/>
  <c r="P108" i="40"/>
  <c r="AJ57" i="40"/>
  <c r="AL64" i="40"/>
  <c r="R31" i="40"/>
  <c r="R115" i="40"/>
  <c r="K8" i="71"/>
  <c r="Q8" i="71"/>
  <c r="C75" i="50"/>
  <c r="E42" i="35"/>
  <c r="D38" i="28"/>
  <c r="D29" i="28"/>
  <c r="E6" i="66"/>
  <c r="D14" i="28"/>
  <c r="AJ55" i="40"/>
  <c r="P106" i="40"/>
  <c r="P55" i="40"/>
  <c r="C109" i="50"/>
  <c r="E38" i="28"/>
  <c r="E14" i="28"/>
  <c r="F6" i="66"/>
  <c r="K10" i="71"/>
  <c r="Q10" i="71"/>
  <c r="E29" i="28"/>
  <c r="F42" i="35"/>
  <c r="C12" i="28"/>
  <c r="C36" i="28"/>
  <c r="K14" i="71"/>
  <c r="Q14" i="71"/>
  <c r="C177" i="50"/>
  <c r="G14" i="28"/>
  <c r="H6" i="66"/>
  <c r="G29" i="28"/>
  <c r="G38" i="28"/>
  <c r="H42" i="35"/>
  <c r="D14" i="70"/>
  <c r="C143" i="50"/>
  <c r="G42" i="35"/>
  <c r="F38" i="28"/>
  <c r="K12" i="71"/>
  <c r="Q12" i="71"/>
  <c r="F14" i="28"/>
  <c r="G6" i="66"/>
  <c r="F29" i="28"/>
  <c r="D7" i="70"/>
  <c r="E14" i="70"/>
  <c r="R58" i="40"/>
  <c r="R57" i="40"/>
  <c r="D12" i="28"/>
  <c r="D36" i="28"/>
  <c r="R56" i="40"/>
  <c r="E7" i="70"/>
  <c r="Q58" i="40"/>
  <c r="Q56" i="40"/>
  <c r="F14" i="70"/>
  <c r="AL58" i="40"/>
  <c r="AL57" i="40"/>
  <c r="AL56" i="40"/>
  <c r="E12" i="28"/>
  <c r="E36" i="28"/>
  <c r="F7" i="70"/>
  <c r="AK58" i="40"/>
  <c r="G14" i="70"/>
  <c r="AK56" i="40"/>
  <c r="R109" i="40"/>
  <c r="R108" i="40"/>
  <c r="AK57" i="40"/>
  <c r="Q57" i="40"/>
  <c r="R107" i="40"/>
  <c r="F12" i="28"/>
  <c r="F36" i="28"/>
  <c r="G7" i="70"/>
  <c r="Q108" i="40"/>
  <c r="Q109" i="40"/>
  <c r="Q107" i="40"/>
  <c r="G12" i="28"/>
  <c r="G36" i="28"/>
  <c r="D190" i="50"/>
  <c r="D156" i="50"/>
  <c r="N19" i="50"/>
  <c r="D88" i="50"/>
  <c r="D54" i="50"/>
  <c r="D122" i="50"/>
  <c r="D18" i="36"/>
  <c r="F9" i="38"/>
  <c r="G9" i="38"/>
  <c r="L126" i="50"/>
  <c r="L59" i="50"/>
  <c r="K92" i="50"/>
  <c r="L189" i="50"/>
  <c r="K189" i="50"/>
  <c r="E71" i="2"/>
  <c r="F179" i="2"/>
  <c r="E99" i="2"/>
  <c r="G61" i="8"/>
  <c r="K94" i="50"/>
  <c r="L94" i="50"/>
  <c r="D31" i="71"/>
  <c r="E31" i="71"/>
  <c r="D30" i="71"/>
  <c r="E30" i="71"/>
  <c r="D32" i="71"/>
  <c r="E32" i="71"/>
  <c r="E63" i="2"/>
  <c r="E175" i="2"/>
  <c r="F175" i="2"/>
  <c r="G175" i="2"/>
  <c r="E39" i="2"/>
  <c r="F39" i="2"/>
  <c r="D24" i="71"/>
  <c r="E24" i="71"/>
  <c r="E22" i="71"/>
  <c r="E23" i="71"/>
  <c r="D23" i="71"/>
  <c r="G11" i="71"/>
  <c r="E11" i="71"/>
  <c r="F11" i="71"/>
  <c r="K156" i="50"/>
  <c r="J160" i="50"/>
  <c r="I160" i="50"/>
  <c r="D187" i="50"/>
  <c r="D153" i="50"/>
  <c r="D85" i="50"/>
  <c r="D51" i="50"/>
  <c r="I56" i="50"/>
  <c r="J56" i="50"/>
  <c r="Q22" i="71"/>
  <c r="D198" i="50"/>
  <c r="N27" i="50"/>
  <c r="D130" i="50"/>
  <c r="E44" i="2"/>
  <c r="G44" i="2"/>
  <c r="K150" i="50"/>
  <c r="D50" i="50"/>
  <c r="D118" i="50"/>
  <c r="M9" i="38"/>
  <c r="N9" i="38"/>
  <c r="H9" i="38"/>
  <c r="I186" i="50"/>
  <c r="I61" i="50"/>
  <c r="N10" i="53"/>
  <c r="N8" i="53"/>
  <c r="E176" i="2"/>
  <c r="J121" i="50"/>
  <c r="K121" i="50"/>
  <c r="E5" i="38"/>
  <c r="K9" i="38"/>
  <c r="G5" i="38"/>
  <c r="I95" i="50"/>
  <c r="F178" i="2"/>
  <c r="E98" i="2"/>
  <c r="G98" i="2"/>
  <c r="F70" i="2"/>
  <c r="G70" i="2"/>
  <c r="F38" i="8"/>
  <c r="J127" i="50"/>
  <c r="I127" i="50"/>
  <c r="L127" i="50"/>
  <c r="J85" i="50"/>
  <c r="K85" i="50"/>
  <c r="J197" i="50"/>
  <c r="I197" i="50"/>
  <c r="I195" i="50"/>
  <c r="R10" i="53"/>
  <c r="C9" i="38"/>
  <c r="E46" i="2"/>
  <c r="F46" i="2"/>
  <c r="G46" i="2"/>
  <c r="E182" i="2"/>
  <c r="E74" i="2"/>
  <c r="F6" i="8"/>
  <c r="L129" i="50"/>
  <c r="D86" i="50"/>
  <c r="J154" i="50"/>
  <c r="D188" i="50"/>
  <c r="F63" i="2"/>
  <c r="G63" i="2"/>
  <c r="G178" i="2"/>
  <c r="E126" i="2"/>
  <c r="G12" i="71"/>
  <c r="J9" i="38"/>
  <c r="G10" i="71"/>
  <c r="F10" i="71"/>
  <c r="E72" i="2"/>
  <c r="G72" i="2"/>
  <c r="F180" i="2"/>
  <c r="E100" i="2"/>
  <c r="G100" i="2"/>
  <c r="F182" i="2"/>
  <c r="G182" i="2"/>
  <c r="H182" i="2"/>
  <c r="E158" i="2"/>
  <c r="E130" i="2"/>
  <c r="K127" i="50"/>
  <c r="F71" i="2"/>
  <c r="G71" i="2"/>
  <c r="H178" i="2"/>
  <c r="E154" i="2"/>
  <c r="C154" i="2"/>
  <c r="F154" i="2"/>
  <c r="G154" i="2"/>
  <c r="F74" i="2"/>
  <c r="G180" i="2"/>
  <c r="H180" i="2"/>
  <c r="E156" i="2"/>
  <c r="G156" i="2"/>
  <c r="L184" i="50"/>
  <c r="K53" i="50"/>
  <c r="L53" i="50"/>
  <c r="L50" i="50"/>
  <c r="D39" i="2"/>
  <c r="G39" i="2"/>
  <c r="D213" i="2"/>
  <c r="D124" i="50"/>
  <c r="K48" i="50"/>
  <c r="L48" i="50"/>
  <c r="K195" i="50"/>
  <c r="L195" i="50"/>
  <c r="G38" i="2"/>
  <c r="C80" i="54"/>
  <c r="D80" i="54"/>
  <c r="I161" i="50"/>
  <c r="J161" i="50"/>
  <c r="L161" i="50"/>
  <c r="G169" i="2"/>
  <c r="E88" i="2"/>
  <c r="E12" i="71"/>
  <c r="F12" i="71"/>
  <c r="G179" i="2"/>
  <c r="K52" i="50"/>
  <c r="C28" i="58"/>
  <c r="O9" i="58"/>
  <c r="C101" i="2"/>
  <c r="F101" i="2"/>
  <c r="C129" i="2"/>
  <c r="E20" i="39"/>
  <c r="D20" i="39"/>
  <c r="C20" i="39"/>
  <c r="G20" i="39"/>
  <c r="H20" i="39"/>
  <c r="I20" i="39"/>
  <c r="D89" i="50"/>
  <c r="O10" i="58"/>
  <c r="C46" i="58"/>
  <c r="C65" i="58"/>
  <c r="L85" i="50"/>
  <c r="F21" i="2"/>
  <c r="G21" i="2"/>
  <c r="D19" i="36"/>
  <c r="O13" i="71"/>
  <c r="K190" i="50"/>
  <c r="N25" i="50"/>
  <c r="D162" i="50"/>
  <c r="D196" i="50"/>
  <c r="D94" i="50"/>
  <c r="D60" i="50"/>
  <c r="D128" i="50"/>
  <c r="C157" i="2"/>
  <c r="F157" i="2"/>
  <c r="I130" i="50"/>
  <c r="K130" i="50"/>
  <c r="L117" i="50"/>
  <c r="I122" i="50"/>
  <c r="J122" i="50"/>
  <c r="L122" i="50"/>
  <c r="E9" i="38"/>
  <c r="D9" i="38"/>
  <c r="I95" i="25"/>
  <c r="I72" i="25"/>
  <c r="I26" i="25"/>
  <c r="K155" i="50"/>
  <c r="K84" i="50"/>
  <c r="Q27" i="71"/>
  <c r="F126" i="2"/>
  <c r="G126" i="2"/>
  <c r="L123" i="50"/>
  <c r="C84" i="58"/>
  <c r="G35" i="2"/>
  <c r="D59" i="50"/>
  <c r="D93" i="50"/>
  <c r="L154" i="50"/>
  <c r="K49" i="50"/>
  <c r="L120" i="50"/>
  <c r="E38" i="71"/>
  <c r="D160" i="50"/>
  <c r="D194" i="50"/>
  <c r="D35" i="71"/>
  <c r="F13" i="71"/>
  <c r="D34" i="71"/>
  <c r="E34" i="71"/>
  <c r="H18" i="36"/>
  <c r="R10" i="58"/>
  <c r="C105" i="58"/>
  <c r="C103" i="58"/>
  <c r="D121" i="50"/>
  <c r="D189" i="50"/>
  <c r="D155" i="50"/>
  <c r="E24" i="56"/>
  <c r="F24" i="56"/>
  <c r="D27" i="56"/>
  <c r="D9" i="56"/>
  <c r="F65" i="2"/>
  <c r="G65" i="2"/>
  <c r="L121" i="50"/>
  <c r="Q32" i="71"/>
  <c r="G46" i="70"/>
  <c r="G43" i="2"/>
  <c r="K151" i="50"/>
  <c r="D163" i="50"/>
  <c r="D95" i="50"/>
  <c r="D197" i="50"/>
  <c r="J10" i="53"/>
  <c r="I96" i="50"/>
  <c r="J96" i="50"/>
  <c r="L96" i="50"/>
  <c r="I157" i="50"/>
  <c r="J157" i="50"/>
  <c r="K157" i="50"/>
  <c r="L157" i="50"/>
  <c r="J193" i="50"/>
  <c r="I193" i="50"/>
  <c r="L193" i="50"/>
  <c r="F11" i="8"/>
  <c r="F51" i="8"/>
  <c r="I89" i="50"/>
  <c r="K89" i="50"/>
  <c r="F174" i="2"/>
  <c r="F5" i="8"/>
  <c r="J86" i="50"/>
  <c r="I158" i="50"/>
  <c r="K158" i="50"/>
  <c r="F24" i="8"/>
  <c r="L130" i="50"/>
  <c r="P9" i="58"/>
  <c r="C66" i="58"/>
  <c r="C47" i="58"/>
  <c r="K161" i="50"/>
  <c r="H179" i="2"/>
  <c r="E155" i="2"/>
  <c r="E127" i="2"/>
  <c r="F127" i="2"/>
  <c r="G127" i="2"/>
  <c r="F88" i="2"/>
  <c r="G88" i="2"/>
  <c r="L158" i="50"/>
  <c r="O15" i="71"/>
  <c r="H169" i="2"/>
  <c r="E144" i="2"/>
  <c r="E116" i="2"/>
  <c r="F116" i="2"/>
  <c r="G116" i="2"/>
  <c r="G13" i="71"/>
  <c r="E13" i="71"/>
  <c r="L86" i="50"/>
  <c r="K86" i="50"/>
  <c r="C73" i="54"/>
  <c r="C106" i="54"/>
  <c r="F129" i="2"/>
  <c r="C85" i="58"/>
  <c r="F158" i="2"/>
  <c r="K122" i="50"/>
  <c r="D157" i="50"/>
  <c r="K95" i="50"/>
  <c r="L95" i="50"/>
  <c r="G18" i="36"/>
  <c r="K187" i="50"/>
  <c r="L187" i="50"/>
  <c r="E9" i="71"/>
  <c r="F8" i="71"/>
  <c r="D67" i="2"/>
  <c r="K196" i="50"/>
  <c r="L196" i="50"/>
  <c r="E27" i="56"/>
  <c r="E9" i="56"/>
  <c r="K193" i="50"/>
  <c r="N20" i="50"/>
  <c r="O3" i="58"/>
  <c r="K88" i="50"/>
  <c r="L88" i="50"/>
  <c r="L51" i="50"/>
  <c r="K51" i="50"/>
  <c r="L159" i="50"/>
  <c r="K159" i="50"/>
  <c r="K198" i="50"/>
  <c r="L198" i="50"/>
  <c r="D195" i="50"/>
  <c r="D161" i="50"/>
  <c r="D127" i="50"/>
  <c r="K96" i="50"/>
  <c r="D55" i="50"/>
  <c r="O4" i="58"/>
  <c r="L90" i="50"/>
  <c r="K90" i="50"/>
  <c r="L164" i="50"/>
  <c r="K164" i="50"/>
  <c r="S27" i="71"/>
  <c r="T27" i="71"/>
  <c r="G210" i="2"/>
  <c r="C136" i="54"/>
  <c r="I118" i="25"/>
  <c r="I49" i="25"/>
  <c r="N23" i="50"/>
  <c r="D126" i="50"/>
  <c r="D58" i="50"/>
  <c r="D92" i="50"/>
  <c r="K56" i="50"/>
  <c r="L56" i="50"/>
  <c r="D191" i="50"/>
  <c r="H13" i="62"/>
  <c r="H14" i="62"/>
  <c r="K154" i="50"/>
  <c r="K186" i="50"/>
  <c r="L186" i="50"/>
  <c r="G172" i="2"/>
  <c r="E91" i="2"/>
  <c r="F91" i="2"/>
  <c r="L89" i="50"/>
  <c r="C70" i="54"/>
  <c r="F18" i="36"/>
  <c r="E28" i="38"/>
  <c r="D30" i="38"/>
  <c r="D37" i="38"/>
  <c r="S32" i="71"/>
  <c r="G86" i="70"/>
  <c r="K124" i="50"/>
  <c r="D61" i="50"/>
  <c r="D129" i="50"/>
  <c r="N26" i="50"/>
  <c r="K116" i="50"/>
  <c r="L194" i="50"/>
  <c r="K194" i="50"/>
  <c r="N21" i="50"/>
  <c r="D192" i="50"/>
  <c r="D158" i="50"/>
  <c r="D90" i="50"/>
  <c r="D56" i="50"/>
  <c r="L152" i="50"/>
  <c r="J93" i="50"/>
  <c r="L93" i="50"/>
  <c r="J91" i="50"/>
  <c r="L91" i="50"/>
  <c r="C27" i="58"/>
  <c r="F8" i="8"/>
  <c r="J119" i="50"/>
  <c r="L119" i="50"/>
  <c r="I162" i="50"/>
  <c r="K162" i="50"/>
  <c r="E5" i="56"/>
  <c r="N15" i="50"/>
  <c r="N28" i="50"/>
  <c r="E19" i="36"/>
  <c r="I9" i="38"/>
  <c r="K61" i="50"/>
  <c r="G91" i="2"/>
  <c r="C122" i="54"/>
  <c r="D122" i="54"/>
  <c r="D106" i="54"/>
  <c r="H172" i="2"/>
  <c r="E147" i="2"/>
  <c r="F147" i="2"/>
  <c r="E119" i="2"/>
  <c r="L162" i="50"/>
  <c r="G8" i="71"/>
  <c r="G9" i="71"/>
  <c r="F9" i="71"/>
  <c r="D70" i="54"/>
  <c r="K91" i="50"/>
  <c r="K93" i="50"/>
  <c r="O5" i="58"/>
  <c r="O7" i="58"/>
  <c r="D136" i="54"/>
  <c r="C169" i="54"/>
  <c r="K119" i="50"/>
  <c r="D169" i="54"/>
  <c r="AG3" i="74"/>
  <c r="A3" i="74"/>
  <c r="C11" i="78"/>
  <c r="C7" i="78"/>
  <c r="C3" i="78"/>
  <c r="C10" i="78"/>
  <c r="C6" i="78"/>
  <c r="C2" i="78"/>
  <c r="C9" i="78"/>
  <c r="C5" i="78"/>
  <c r="C8" i="78"/>
  <c r="C4" i="78"/>
  <c r="AV5" i="74"/>
  <c r="D23" i="85"/>
  <c r="E22" i="85"/>
  <c r="I14" i="85"/>
  <c r="F15" i="85"/>
  <c r="G15" i="85"/>
  <c r="C27" i="83"/>
  <c r="C12" i="83"/>
  <c r="C24" i="83"/>
  <c r="C9" i="83"/>
  <c r="C21" i="70"/>
  <c r="E21" i="36"/>
  <c r="AO5" i="74"/>
  <c r="A5" i="74"/>
  <c r="AG5" i="74"/>
  <c r="E44" i="35"/>
  <c r="D46" i="35"/>
  <c r="E45" i="35"/>
  <c r="F99" i="2"/>
  <c r="G99" i="2"/>
  <c r="H90" i="70"/>
  <c r="I90" i="70"/>
  <c r="J90" i="70"/>
  <c r="H89" i="70"/>
  <c r="I89" i="70"/>
  <c r="J89" i="70"/>
  <c r="D161" i="2"/>
  <c r="H213" i="2"/>
  <c r="F105" i="2"/>
  <c r="C139" i="54"/>
  <c r="C146" i="54"/>
  <c r="F213" i="2"/>
  <c r="E170" i="2"/>
  <c r="E33" i="2"/>
  <c r="G51" i="8"/>
  <c r="H51" i="8"/>
  <c r="F27" i="56"/>
  <c r="F9" i="56"/>
  <c r="G24" i="56"/>
  <c r="G8" i="8"/>
  <c r="H8" i="8"/>
  <c r="H5" i="8"/>
  <c r="G5" i="8"/>
  <c r="F130" i="2"/>
  <c r="I11" i="62"/>
  <c r="G130" i="2"/>
  <c r="K197" i="50"/>
  <c r="L197" i="50"/>
  <c r="K160" i="50"/>
  <c r="L160" i="50"/>
  <c r="G213" i="2"/>
  <c r="D133" i="2"/>
  <c r="F144" i="2"/>
  <c r="G144" i="2"/>
  <c r="N4" i="58"/>
  <c r="N6" i="58"/>
  <c r="N3" i="58"/>
  <c r="C84" i="54"/>
  <c r="C103" i="54"/>
  <c r="C113" i="54"/>
  <c r="D113" i="54"/>
  <c r="H11" i="8"/>
  <c r="G11" i="8"/>
  <c r="C48" i="58"/>
  <c r="C67" i="58"/>
  <c r="J11" i="62"/>
  <c r="G158" i="2"/>
  <c r="G6" i="8"/>
  <c r="H6" i="8"/>
  <c r="G38" i="8"/>
  <c r="H38" i="8"/>
  <c r="F176" i="2"/>
  <c r="E68" i="2"/>
  <c r="F68" i="2"/>
  <c r="E67" i="2"/>
  <c r="F67" i="2"/>
  <c r="G67" i="2"/>
  <c r="E123" i="2"/>
  <c r="H175" i="2"/>
  <c r="E151" i="2"/>
  <c r="G17" i="8"/>
  <c r="H17" i="8"/>
  <c r="C17" i="36"/>
  <c r="K57" i="50"/>
  <c r="L57" i="50"/>
  <c r="L58" i="50"/>
  <c r="K58" i="50"/>
  <c r="L125" i="50"/>
  <c r="K125" i="50"/>
  <c r="K163" i="50"/>
  <c r="L163" i="50"/>
  <c r="G25" i="2"/>
  <c r="G174" i="2"/>
  <c r="E94" i="2"/>
  <c r="G74" i="2"/>
  <c r="C109" i="58"/>
  <c r="C90" i="58"/>
  <c r="E31" i="38"/>
  <c r="E29" i="38"/>
  <c r="F47" i="8"/>
  <c r="F37" i="8"/>
  <c r="F31" i="8"/>
  <c r="F21" i="8"/>
  <c r="F15" i="8"/>
  <c r="F54" i="8"/>
  <c r="F42" i="8"/>
  <c r="F44" i="8"/>
  <c r="F45" i="8"/>
  <c r="F35" i="8"/>
  <c r="F29" i="8"/>
  <c r="F19" i="8"/>
  <c r="F9" i="8"/>
  <c r="F43" i="8"/>
  <c r="F7" i="8"/>
  <c r="F18" i="8"/>
  <c r="F46" i="8"/>
  <c r="F28" i="8"/>
  <c r="F30" i="8"/>
  <c r="F41" i="8"/>
  <c r="F32" i="8"/>
  <c r="F52" i="8"/>
  <c r="F36" i="8"/>
  <c r="F13" i="8"/>
  <c r="F39" i="8"/>
  <c r="F26" i="8"/>
  <c r="F33" i="8"/>
  <c r="F4" i="8"/>
  <c r="F50" i="8"/>
  <c r="F25" i="8"/>
  <c r="F53" i="8"/>
  <c r="F48" i="8"/>
  <c r="F10" i="8"/>
  <c r="F23" i="8"/>
  <c r="F16" i="8"/>
  <c r="F14" i="8"/>
  <c r="F20" i="8"/>
  <c r="F22" i="8"/>
  <c r="F27" i="8"/>
  <c r="F34" i="8"/>
  <c r="F40" i="8"/>
  <c r="D37" i="71"/>
  <c r="E37" i="71"/>
  <c r="D38" i="71"/>
  <c r="G147" i="2"/>
  <c r="F119" i="2"/>
  <c r="G119" i="2"/>
  <c r="C202" i="54"/>
  <c r="E93" i="2"/>
  <c r="F155" i="2"/>
  <c r="G155" i="2"/>
  <c r="G24" i="8"/>
  <c r="H24" i="8"/>
  <c r="I13" i="62"/>
  <c r="J13" i="62"/>
  <c r="I14" i="62"/>
  <c r="J14" i="62"/>
  <c r="C88" i="54"/>
  <c r="D73" i="54"/>
  <c r="C72" i="54"/>
  <c r="C89" i="54"/>
  <c r="D89" i="54"/>
  <c r="E128" i="2"/>
  <c r="G128" i="2"/>
  <c r="E102" i="2"/>
  <c r="L60" i="50"/>
  <c r="K60" i="50"/>
  <c r="F12" i="8"/>
  <c r="G4" i="62"/>
  <c r="H4" i="62"/>
  <c r="D96" i="50"/>
  <c r="D164" i="50"/>
  <c r="D186" i="50"/>
  <c r="D84" i="50"/>
  <c r="D152" i="50"/>
  <c r="E73" i="2"/>
  <c r="G73" i="2"/>
  <c r="F181" i="2"/>
  <c r="G66" i="2"/>
  <c r="L54" i="50"/>
  <c r="K54" i="50"/>
  <c r="U43" i="70"/>
  <c r="J118" i="50"/>
  <c r="I118" i="50"/>
  <c r="K118" i="50"/>
  <c r="L61" i="50"/>
  <c r="E131" i="2"/>
  <c r="H183" i="2"/>
  <c r="E159" i="2"/>
  <c r="L185" i="50"/>
  <c r="K185" i="50"/>
  <c r="C34" i="58"/>
  <c r="O15" i="58"/>
  <c r="E32" i="56"/>
  <c r="E8" i="56"/>
  <c r="F30" i="56"/>
  <c r="E186" i="2"/>
  <c r="E50" i="2"/>
  <c r="I128" i="50"/>
  <c r="J128" i="50"/>
  <c r="K128" i="50"/>
  <c r="L124" i="50"/>
  <c r="L87" i="50"/>
  <c r="I83" i="50"/>
  <c r="J83" i="50"/>
  <c r="K83" i="50"/>
  <c r="F47" i="2"/>
  <c r="G47" i="2"/>
  <c r="I191" i="50"/>
  <c r="J191" i="50"/>
  <c r="L191" i="50"/>
  <c r="F34" i="2"/>
  <c r="G34" i="2"/>
  <c r="E62" i="2"/>
  <c r="F171" i="2"/>
  <c r="U17" i="70"/>
  <c r="U35" i="70"/>
  <c r="G42" i="2"/>
  <c r="L150" i="50"/>
  <c r="G50" i="70"/>
  <c r="G88" i="70"/>
  <c r="H88" i="70"/>
  <c r="I88" i="70"/>
  <c r="J88" i="70"/>
  <c r="L55" i="50"/>
  <c r="G36" i="2"/>
  <c r="D32" i="56"/>
  <c r="D8" i="56"/>
  <c r="E23" i="85"/>
  <c r="I22" i="85"/>
  <c r="F22" i="85"/>
  <c r="D9" i="83"/>
  <c r="C13" i="83"/>
  <c r="C15" i="83"/>
  <c r="D24" i="83"/>
  <c r="C32" i="84"/>
  <c r="C28" i="83"/>
  <c r="C30" i="83"/>
  <c r="C32" i="83"/>
  <c r="C34" i="83"/>
  <c r="D27" i="83"/>
  <c r="D12" i="83"/>
  <c r="C30" i="28"/>
  <c r="F131" i="2"/>
  <c r="G131" i="2"/>
  <c r="G12" i="8"/>
  <c r="H12" i="8"/>
  <c r="D88" i="54"/>
  <c r="C121" i="54"/>
  <c r="D121" i="54"/>
  <c r="D202" i="54"/>
  <c r="G27" i="8"/>
  <c r="H27" i="8"/>
  <c r="G16" i="8"/>
  <c r="H16" i="8"/>
  <c r="H53" i="8"/>
  <c r="G53" i="8"/>
  <c r="H33" i="8"/>
  <c r="G33" i="8"/>
  <c r="H36" i="8"/>
  <c r="G36" i="8"/>
  <c r="H30" i="8"/>
  <c r="G30" i="8"/>
  <c r="H7" i="8"/>
  <c r="G7" i="8"/>
  <c r="G29" i="8"/>
  <c r="H29" i="8"/>
  <c r="G42" i="8"/>
  <c r="H42" i="8"/>
  <c r="H31" i="8"/>
  <c r="G31" i="8"/>
  <c r="E38" i="38"/>
  <c r="F123" i="2"/>
  <c r="G123" i="2"/>
  <c r="D103" i="54"/>
  <c r="C117" i="54"/>
  <c r="C22" i="58"/>
  <c r="C41" i="58"/>
  <c r="P6" i="58"/>
  <c r="C63" i="58"/>
  <c r="P3" i="58"/>
  <c r="C60" i="58"/>
  <c r="P4" i="58"/>
  <c r="F45" i="35"/>
  <c r="J42" i="35"/>
  <c r="H50" i="70"/>
  <c r="I50" i="70"/>
  <c r="J50" i="70"/>
  <c r="H47" i="70"/>
  <c r="I47" i="70"/>
  <c r="J47" i="70"/>
  <c r="H46" i="70"/>
  <c r="I46" i="70"/>
  <c r="J46" i="70"/>
  <c r="F50" i="2"/>
  <c r="G50" i="2"/>
  <c r="C29" i="58"/>
  <c r="L118" i="50"/>
  <c r="F93" i="2"/>
  <c r="G93" i="2"/>
  <c r="H22" i="8"/>
  <c r="G22" i="8"/>
  <c r="H23" i="8"/>
  <c r="G23" i="8"/>
  <c r="G25" i="8"/>
  <c r="H25" i="8"/>
  <c r="H26" i="8"/>
  <c r="G26" i="8"/>
  <c r="H52" i="8"/>
  <c r="G52" i="8"/>
  <c r="G28" i="8"/>
  <c r="H28" i="8"/>
  <c r="H43" i="8"/>
  <c r="G43" i="8"/>
  <c r="H35" i="8"/>
  <c r="G35" i="8"/>
  <c r="H54" i="8"/>
  <c r="G54" i="8"/>
  <c r="H37" i="8"/>
  <c r="G37" i="8"/>
  <c r="D84" i="54"/>
  <c r="C86" i="54"/>
  <c r="D86" i="54"/>
  <c r="C25" i="58"/>
  <c r="C44" i="58"/>
  <c r="F133" i="2"/>
  <c r="C179" i="54"/>
  <c r="D179" i="54"/>
  <c r="G27" i="56"/>
  <c r="G9" i="56"/>
  <c r="H24" i="56"/>
  <c r="H27" i="56"/>
  <c r="H9" i="56"/>
  <c r="R6" i="58"/>
  <c r="R3" i="58"/>
  <c r="R4" i="58"/>
  <c r="G171" i="2"/>
  <c r="E90" i="2"/>
  <c r="E78" i="2"/>
  <c r="F186" i="2"/>
  <c r="C53" i="58"/>
  <c r="C72" i="58"/>
  <c r="D72" i="54"/>
  <c r="C105" i="54"/>
  <c r="C138" i="54"/>
  <c r="D138" i="54"/>
  <c r="D105" i="54"/>
  <c r="H40" i="8"/>
  <c r="G40" i="8"/>
  <c r="G20" i="8"/>
  <c r="H20" i="8"/>
  <c r="G10" i="8"/>
  <c r="H10" i="8"/>
  <c r="G50" i="8"/>
  <c r="H50" i="8"/>
  <c r="H39" i="8"/>
  <c r="G39" i="8"/>
  <c r="H32" i="8"/>
  <c r="G32" i="8"/>
  <c r="G46" i="8"/>
  <c r="H46" i="8"/>
  <c r="H9" i="8"/>
  <c r="G9" i="8"/>
  <c r="G45" i="8"/>
  <c r="H45" i="8"/>
  <c r="H15" i="8"/>
  <c r="G15" i="8"/>
  <c r="H47" i="8"/>
  <c r="G47" i="8"/>
  <c r="F94" i="2"/>
  <c r="G94" i="2"/>
  <c r="H48" i="70"/>
  <c r="I48" i="70"/>
  <c r="J48" i="70"/>
  <c r="N7" i="58"/>
  <c r="C42" i="58"/>
  <c r="C23" i="58"/>
  <c r="N5" i="58"/>
  <c r="Q3" i="58"/>
  <c r="C79" i="58"/>
  <c r="Q4" i="58"/>
  <c r="Q6" i="58"/>
  <c r="C82" i="58"/>
  <c r="F33" i="2"/>
  <c r="G33" i="2"/>
  <c r="C212" i="54"/>
  <c r="D212" i="54"/>
  <c r="F161" i="2"/>
  <c r="H87" i="70"/>
  <c r="I87" i="70"/>
  <c r="J87" i="70"/>
  <c r="D21" i="70"/>
  <c r="D15" i="71"/>
  <c r="F62" i="2"/>
  <c r="G62" i="2"/>
  <c r="K191" i="50"/>
  <c r="L83" i="50"/>
  <c r="L128" i="50"/>
  <c r="F32" i="56"/>
  <c r="F8" i="56"/>
  <c r="G30" i="56"/>
  <c r="F159" i="2"/>
  <c r="G159" i="2"/>
  <c r="G181" i="2"/>
  <c r="E101" i="2"/>
  <c r="G101" i="2"/>
  <c r="H11" i="62"/>
  <c r="F102" i="2"/>
  <c r="G102" i="2"/>
  <c r="G34" i="8"/>
  <c r="H34" i="8"/>
  <c r="H14" i="8"/>
  <c r="G14" i="8"/>
  <c r="G48" i="8"/>
  <c r="H48" i="8"/>
  <c r="F55" i="8"/>
  <c r="H4" i="8"/>
  <c r="G4" i="8"/>
  <c r="G13" i="8"/>
  <c r="H13" i="8"/>
  <c r="G41" i="8"/>
  <c r="H41" i="8"/>
  <c r="G18" i="8"/>
  <c r="H18" i="8"/>
  <c r="H19" i="8"/>
  <c r="G19" i="8"/>
  <c r="G44" i="8"/>
  <c r="H44" i="8"/>
  <c r="G21" i="8"/>
  <c r="H21" i="8"/>
  <c r="F28" i="38"/>
  <c r="E30" i="38"/>
  <c r="E37" i="38"/>
  <c r="C83" i="54"/>
  <c r="E122" i="2"/>
  <c r="H174" i="2"/>
  <c r="E121" i="2"/>
  <c r="H49" i="70"/>
  <c r="I49" i="70"/>
  <c r="J49" i="70"/>
  <c r="F151" i="2"/>
  <c r="G151" i="2"/>
  <c r="E96" i="2"/>
  <c r="F96" i="2"/>
  <c r="G176" i="2"/>
  <c r="E95" i="2"/>
  <c r="F170" i="2"/>
  <c r="E61" i="2"/>
  <c r="C155" i="54"/>
  <c r="D155" i="54"/>
  <c r="C172" i="54"/>
  <c r="C154" i="54"/>
  <c r="C150" i="54"/>
  <c r="D139" i="54"/>
  <c r="C149" i="54"/>
  <c r="H86" i="70"/>
  <c r="I86" i="70"/>
  <c r="J86" i="70"/>
  <c r="F44" i="35"/>
  <c r="E46" i="35"/>
  <c r="I21" i="36"/>
  <c r="F21" i="36"/>
  <c r="G22" i="85"/>
  <c r="G23" i="85"/>
  <c r="F23" i="85"/>
  <c r="D13" i="83"/>
  <c r="D15" i="83"/>
  <c r="D28" i="83"/>
  <c r="D30" i="83"/>
  <c r="D32" i="83"/>
  <c r="D34" i="83"/>
  <c r="E24" i="83"/>
  <c r="D32" i="84"/>
  <c r="E9" i="83"/>
  <c r="C35" i="84"/>
  <c r="C39" i="83"/>
  <c r="C17" i="83"/>
  <c r="C41" i="83"/>
  <c r="E27" i="83"/>
  <c r="E12" i="83"/>
  <c r="C37" i="83"/>
  <c r="C33" i="28"/>
  <c r="D154" i="54"/>
  <c r="C187" i="54"/>
  <c r="E89" i="2"/>
  <c r="G170" i="2"/>
  <c r="E150" i="2"/>
  <c r="E149" i="2"/>
  <c r="F90" i="2"/>
  <c r="G90" i="2"/>
  <c r="R7" i="58"/>
  <c r="R5" i="58"/>
  <c r="C99" i="58"/>
  <c r="C22" i="35"/>
  <c r="C13" i="56"/>
  <c r="D6" i="56"/>
  <c r="D10" i="56"/>
  <c r="I12" i="70"/>
  <c r="C151" i="54"/>
  <c r="D151" i="54"/>
  <c r="D149" i="54"/>
  <c r="H55" i="8"/>
  <c r="C66" i="8"/>
  <c r="G55" i="8"/>
  <c r="C65" i="8"/>
  <c r="H30" i="56"/>
  <c r="H32" i="56"/>
  <c r="H8" i="56"/>
  <c r="G32" i="56"/>
  <c r="G8" i="56"/>
  <c r="E15" i="71"/>
  <c r="E21" i="70"/>
  <c r="I20" i="70"/>
  <c r="Q7" i="58"/>
  <c r="C80" i="58"/>
  <c r="Q5" i="58"/>
  <c r="P5" i="58"/>
  <c r="C81" i="58"/>
  <c r="H171" i="2"/>
  <c r="E146" i="2"/>
  <c r="E118" i="2"/>
  <c r="C98" i="58"/>
  <c r="C20" i="35"/>
  <c r="G45" i="35"/>
  <c r="K42" i="35"/>
  <c r="D117" i="54"/>
  <c r="C119" i="54"/>
  <c r="D119" i="54"/>
  <c r="D172" i="54"/>
  <c r="C182" i="54"/>
  <c r="C205" i="54"/>
  <c r="C188" i="54"/>
  <c r="D188" i="54"/>
  <c r="C183" i="54"/>
  <c r="F95" i="2"/>
  <c r="G95" i="2"/>
  <c r="F122" i="2"/>
  <c r="G122" i="2"/>
  <c r="E124" i="2"/>
  <c r="F124" i="2"/>
  <c r="H176" i="2"/>
  <c r="E152" i="2"/>
  <c r="F152" i="2"/>
  <c r="F29" i="38"/>
  <c r="G28" i="38"/>
  <c r="F30" i="38"/>
  <c r="F37" i="38"/>
  <c r="E129" i="2"/>
  <c r="G129" i="2"/>
  <c r="H181" i="2"/>
  <c r="E157" i="2"/>
  <c r="G157" i="2"/>
  <c r="D30" i="28"/>
  <c r="C26" i="58"/>
  <c r="C45" i="58"/>
  <c r="C171" i="54"/>
  <c r="D171" i="54"/>
  <c r="G186" i="2"/>
  <c r="E106" i="2"/>
  <c r="C35" i="28"/>
  <c r="C101" i="58"/>
  <c r="C61" i="58"/>
  <c r="P7" i="58"/>
  <c r="C64" i="58"/>
  <c r="C62" i="58"/>
  <c r="G21" i="36"/>
  <c r="J21" i="36"/>
  <c r="F46" i="35"/>
  <c r="G44" i="35"/>
  <c r="C152" i="54"/>
  <c r="D152" i="54"/>
  <c r="D150" i="54"/>
  <c r="F61" i="2"/>
  <c r="G61" i="2"/>
  <c r="F121" i="2"/>
  <c r="G121" i="2"/>
  <c r="C85" i="54"/>
  <c r="D85" i="54"/>
  <c r="C116" i="54"/>
  <c r="D83" i="54"/>
  <c r="C24" i="58"/>
  <c r="C43" i="58"/>
  <c r="E18" i="36"/>
  <c r="F78" i="2"/>
  <c r="G78" i="2"/>
  <c r="F31" i="38"/>
  <c r="E13" i="83"/>
  <c r="E15" i="83"/>
  <c r="E28" i="83"/>
  <c r="E30" i="83"/>
  <c r="E32" i="83"/>
  <c r="E34" i="83"/>
  <c r="D37" i="83"/>
  <c r="D35" i="84"/>
  <c r="E32" i="84"/>
  <c r="C37" i="84"/>
  <c r="F24" i="83"/>
  <c r="F9" i="83"/>
  <c r="F27" i="83"/>
  <c r="F12" i="83"/>
  <c r="D39" i="83"/>
  <c r="D17" i="83"/>
  <c r="D41" i="83"/>
  <c r="C43" i="83"/>
  <c r="C19" i="83"/>
  <c r="E30" i="28"/>
  <c r="E6" i="56"/>
  <c r="E10" i="56"/>
  <c r="H186" i="2"/>
  <c r="E162" i="2"/>
  <c r="E134" i="2"/>
  <c r="F15" i="71"/>
  <c r="F150" i="2"/>
  <c r="G150" i="2"/>
  <c r="C15" i="28"/>
  <c r="G29" i="38"/>
  <c r="H28" i="38"/>
  <c r="D205" i="54"/>
  <c r="C221" i="54"/>
  <c r="D221" i="54"/>
  <c r="C216" i="54"/>
  <c r="C215" i="54"/>
  <c r="L42" i="35"/>
  <c r="H45" i="35"/>
  <c r="C100" i="58"/>
  <c r="H170" i="2"/>
  <c r="E145" i="2"/>
  <c r="E117" i="2"/>
  <c r="F38" i="38"/>
  <c r="G31" i="38"/>
  <c r="H44" i="35"/>
  <c r="G46" i="35"/>
  <c r="D182" i="54"/>
  <c r="C184" i="54"/>
  <c r="D184" i="54"/>
  <c r="D33" i="28"/>
  <c r="F118" i="2"/>
  <c r="G118" i="2"/>
  <c r="C83" i="58"/>
  <c r="F21" i="70"/>
  <c r="C102" i="58"/>
  <c r="C204" i="54"/>
  <c r="D204" i="54"/>
  <c r="F89" i="2"/>
  <c r="G89" i="2"/>
  <c r="D116" i="54"/>
  <c r="C118" i="54"/>
  <c r="D118" i="54"/>
  <c r="K21" i="36"/>
  <c r="H21" i="36"/>
  <c r="L21" i="36"/>
  <c r="F106" i="2"/>
  <c r="G106" i="2"/>
  <c r="C185" i="54"/>
  <c r="D185" i="54"/>
  <c r="D183" i="54"/>
  <c r="F146" i="2"/>
  <c r="G146" i="2"/>
  <c r="F149" i="2"/>
  <c r="G149" i="2"/>
  <c r="C220" i="54"/>
  <c r="D220" i="54"/>
  <c r="D187" i="54"/>
  <c r="D10" i="87"/>
  <c r="D14" i="87"/>
  <c r="D11" i="87"/>
  <c r="D13" i="87"/>
  <c r="D27" i="86"/>
  <c r="E26" i="86"/>
  <c r="D23" i="86"/>
  <c r="D30" i="86"/>
  <c r="E29" i="86"/>
  <c r="D26" i="86"/>
  <c r="D29" i="86"/>
  <c r="E28" i="86"/>
  <c r="D25" i="86"/>
  <c r="D24" i="86"/>
  <c r="D28" i="86"/>
  <c r="E27" i="86"/>
  <c r="F26" i="86"/>
  <c r="D43" i="86"/>
  <c r="E37" i="83"/>
  <c r="F13" i="83"/>
  <c r="F15" i="83"/>
  <c r="F32" i="84"/>
  <c r="G9" i="83"/>
  <c r="G32" i="84"/>
  <c r="F28" i="83"/>
  <c r="F30" i="83"/>
  <c r="F32" i="83"/>
  <c r="F34" i="83"/>
  <c r="E35" i="84"/>
  <c r="C41" i="84"/>
  <c r="C17" i="84"/>
  <c r="D37" i="84"/>
  <c r="D43" i="83"/>
  <c r="D19" i="83"/>
  <c r="G24" i="83"/>
  <c r="G27" i="83"/>
  <c r="G12" i="83"/>
  <c r="E39" i="83"/>
  <c r="E17" i="83"/>
  <c r="E41" i="83"/>
  <c r="E33" i="28"/>
  <c r="F30" i="28"/>
  <c r="F6" i="56"/>
  <c r="F10" i="56"/>
  <c r="C217" i="54"/>
  <c r="D217" i="54"/>
  <c r="D215" i="54"/>
  <c r="H29" i="38"/>
  <c r="I28" i="38"/>
  <c r="G15" i="71"/>
  <c r="G30" i="28"/>
  <c r="H46" i="35"/>
  <c r="F117" i="2"/>
  <c r="G117" i="2"/>
  <c r="D216" i="54"/>
  <c r="C218" i="54"/>
  <c r="D218" i="54"/>
  <c r="G30" i="38"/>
  <c r="G37" i="38"/>
  <c r="F134" i="2"/>
  <c r="G134" i="2"/>
  <c r="F145" i="2"/>
  <c r="G145" i="2"/>
  <c r="G21" i="70"/>
  <c r="M42" i="35"/>
  <c r="C39" i="28"/>
  <c r="E32" i="35"/>
  <c r="D33" i="35"/>
  <c r="D17" i="66"/>
  <c r="D32" i="35"/>
  <c r="D31" i="35"/>
  <c r="F30" i="35"/>
  <c r="J6" i="71"/>
  <c r="C44" i="11"/>
  <c r="C45" i="11"/>
  <c r="C46" i="11"/>
  <c r="C47" i="11"/>
  <c r="C48" i="11"/>
  <c r="C52" i="11"/>
  <c r="C53" i="11"/>
  <c r="E30" i="35"/>
  <c r="D29" i="35"/>
  <c r="D28" i="35"/>
  <c r="E33" i="35"/>
  <c r="H12" i="62"/>
  <c r="H40" i="11"/>
  <c r="H41" i="11"/>
  <c r="H42" i="11"/>
  <c r="H43" i="11"/>
  <c r="D177" i="2"/>
  <c r="E41" i="2"/>
  <c r="F41" i="2"/>
  <c r="D27" i="35"/>
  <c r="D34" i="35"/>
  <c r="C35" i="50"/>
  <c r="E31" i="35"/>
  <c r="D82" i="54"/>
  <c r="D30" i="35"/>
  <c r="F10" i="62"/>
  <c r="D12" i="36"/>
  <c r="D14" i="36"/>
  <c r="D47" i="35"/>
  <c r="F162" i="2"/>
  <c r="G162" i="2"/>
  <c r="E35" i="28"/>
  <c r="D35" i="28"/>
  <c r="G38" i="38"/>
  <c r="H31" i="38"/>
  <c r="D44" i="36"/>
  <c r="D43" i="87"/>
  <c r="D47" i="87"/>
  <c r="F35" i="84"/>
  <c r="G13" i="83"/>
  <c r="G15" i="83"/>
  <c r="F37" i="83"/>
  <c r="F37" i="84"/>
  <c r="D41" i="84"/>
  <c r="D17" i="84"/>
  <c r="E37" i="84"/>
  <c r="E43" i="83"/>
  <c r="E19" i="83"/>
  <c r="G28" i="83"/>
  <c r="G30" i="83"/>
  <c r="G32" i="83"/>
  <c r="G34" i="83"/>
  <c r="F39" i="83"/>
  <c r="F17" i="83"/>
  <c r="F41" i="83"/>
  <c r="F33" i="28"/>
  <c r="G33" i="28"/>
  <c r="G10" i="56"/>
  <c r="G6" i="56"/>
  <c r="I31" i="38"/>
  <c r="H38" i="38"/>
  <c r="F35" i="28"/>
  <c r="I29" i="38"/>
  <c r="J28" i="38"/>
  <c r="C11" i="4"/>
  <c r="D11" i="4"/>
  <c r="C12" i="4"/>
  <c r="D12" i="4"/>
  <c r="C5" i="4"/>
  <c r="D5" i="4"/>
  <c r="C13" i="4"/>
  <c r="D13" i="4"/>
  <c r="C10" i="4"/>
  <c r="D10" i="4"/>
  <c r="C9" i="4"/>
  <c r="D9" i="4"/>
  <c r="C4" i="4"/>
  <c r="D4" i="4"/>
  <c r="C8" i="4"/>
  <c r="D8" i="4"/>
  <c r="C7" i="4"/>
  <c r="D7" i="4"/>
  <c r="C6" i="4"/>
  <c r="D6" i="4"/>
  <c r="C14" i="4"/>
  <c r="D14" i="4"/>
  <c r="L36" i="50"/>
  <c r="C36" i="50"/>
  <c r="C37" i="50"/>
  <c r="L6" i="71"/>
  <c r="R6" i="71"/>
  <c r="H30" i="38"/>
  <c r="H37" i="38"/>
  <c r="H10" i="56"/>
  <c r="H6" i="56"/>
  <c r="D15" i="28"/>
  <c r="E15" i="28"/>
  <c r="F16" i="62"/>
  <c r="D48" i="36"/>
  <c r="D20" i="34"/>
  <c r="D8" i="34"/>
  <c r="D7" i="34"/>
  <c r="D12" i="66"/>
  <c r="D44" i="87"/>
  <c r="E10" i="87"/>
  <c r="E14" i="87"/>
  <c r="E11" i="87"/>
  <c r="E13" i="87"/>
  <c r="F10" i="87"/>
  <c r="F14" i="87"/>
  <c r="F11" i="87"/>
  <c r="F13" i="87"/>
  <c r="E25" i="86"/>
  <c r="E24" i="86"/>
  <c r="E23" i="86"/>
  <c r="E30" i="86"/>
  <c r="E43" i="86"/>
  <c r="F29" i="86"/>
  <c r="F25" i="86"/>
  <c r="F24" i="86"/>
  <c r="F28" i="86"/>
  <c r="F27" i="86"/>
  <c r="F23" i="86"/>
  <c r="F30" i="86"/>
  <c r="F43" i="86"/>
  <c r="F41" i="84"/>
  <c r="F17" i="84"/>
  <c r="E41" i="84"/>
  <c r="E17" i="84"/>
  <c r="G35" i="28"/>
  <c r="G35" i="84"/>
  <c r="F43" i="83"/>
  <c r="F19" i="83"/>
  <c r="G39" i="83"/>
  <c r="G17" i="83"/>
  <c r="G41" i="83"/>
  <c r="G37" i="83"/>
  <c r="C40" i="50"/>
  <c r="C43" i="50"/>
  <c r="G51" i="50"/>
  <c r="C39" i="50"/>
  <c r="C42" i="50"/>
  <c r="F55" i="50"/>
  <c r="C126" i="11"/>
  <c r="C127" i="11"/>
  <c r="C128" i="11"/>
  <c r="C129" i="11"/>
  <c r="C130" i="11"/>
  <c r="C134" i="11"/>
  <c r="C135" i="11"/>
  <c r="E39" i="28"/>
  <c r="J12" i="62"/>
  <c r="F32" i="35"/>
  <c r="J10" i="71"/>
  <c r="D148" i="54"/>
  <c r="C103" i="50"/>
  <c r="F11" i="36"/>
  <c r="F29" i="35"/>
  <c r="F28" i="35"/>
  <c r="F17" i="66"/>
  <c r="J11" i="71"/>
  <c r="R11" i="71"/>
  <c r="F33" i="35"/>
  <c r="H122" i="11"/>
  <c r="H123" i="11"/>
  <c r="H124" i="11"/>
  <c r="H125" i="11"/>
  <c r="F177" i="2"/>
  <c r="E97" i="2"/>
  <c r="F97" i="2"/>
  <c r="F27" i="35"/>
  <c r="F34" i="35"/>
  <c r="F31" i="35"/>
  <c r="F12" i="36"/>
  <c r="F14" i="36"/>
  <c r="F47" i="35"/>
  <c r="H10" i="62"/>
  <c r="F15" i="28"/>
  <c r="D45" i="36"/>
  <c r="D36" i="34"/>
  <c r="D11" i="34"/>
  <c r="I38" i="38"/>
  <c r="J31" i="38"/>
  <c r="D33" i="34"/>
  <c r="D37" i="34"/>
  <c r="J29" i="38"/>
  <c r="K28" i="38"/>
  <c r="J30" i="38"/>
  <c r="J37" i="38"/>
  <c r="D21" i="34"/>
  <c r="D38" i="34"/>
  <c r="D34" i="34"/>
  <c r="I12" i="62"/>
  <c r="D39" i="28"/>
  <c r="H81" i="11"/>
  <c r="H82" i="11"/>
  <c r="H83" i="11"/>
  <c r="H84" i="11"/>
  <c r="E177" i="2"/>
  <c r="E69" i="2"/>
  <c r="F69" i="2"/>
  <c r="E27" i="35"/>
  <c r="E34" i="35"/>
  <c r="E11" i="36"/>
  <c r="E29" i="35"/>
  <c r="E28" i="35"/>
  <c r="J8" i="71"/>
  <c r="C85" i="11"/>
  <c r="C86" i="11"/>
  <c r="C87" i="11"/>
  <c r="C88" i="11"/>
  <c r="C89" i="11"/>
  <c r="C93" i="11"/>
  <c r="C94" i="11"/>
  <c r="E17" i="66"/>
  <c r="C69" i="50"/>
  <c r="D115" i="54"/>
  <c r="E47" i="35"/>
  <c r="E12" i="36"/>
  <c r="E14" i="36"/>
  <c r="G10" i="62"/>
  <c r="S6" i="71"/>
  <c r="D184" i="2"/>
  <c r="E48" i="2"/>
  <c r="G48" i="2"/>
  <c r="D53" i="86"/>
  <c r="F3" i="4"/>
  <c r="I30" i="38"/>
  <c r="I37" i="38"/>
  <c r="E43" i="87"/>
  <c r="F44" i="36"/>
  <c r="F43" i="87"/>
  <c r="F47" i="87"/>
  <c r="E47" i="87"/>
  <c r="G10" i="87"/>
  <c r="G14" i="87"/>
  <c r="G11" i="87"/>
  <c r="G13" i="87"/>
  <c r="G28" i="86"/>
  <c r="G27" i="86"/>
  <c r="G23" i="86"/>
  <c r="G30" i="86"/>
  <c r="G26" i="86"/>
  <c r="G29" i="86"/>
  <c r="G25" i="86"/>
  <c r="G24" i="86"/>
  <c r="G43" i="86"/>
  <c r="D62" i="35"/>
  <c r="D58" i="86"/>
  <c r="D63" i="35"/>
  <c r="D59" i="86"/>
  <c r="G52" i="50"/>
  <c r="G49" i="50"/>
  <c r="G48" i="50"/>
  <c r="G60" i="50"/>
  <c r="G61" i="50"/>
  <c r="G50" i="50"/>
  <c r="G15" i="28"/>
  <c r="G59" i="50"/>
  <c r="G58" i="50"/>
  <c r="G37" i="84"/>
  <c r="G43" i="83"/>
  <c r="G19" i="83"/>
  <c r="G54" i="50"/>
  <c r="G57" i="50"/>
  <c r="G62" i="50"/>
  <c r="G56" i="50"/>
  <c r="G53" i="50"/>
  <c r="G55" i="50"/>
  <c r="F57" i="50"/>
  <c r="N57" i="50"/>
  <c r="O57" i="50"/>
  <c r="R57" i="50"/>
  <c r="S57" i="50"/>
  <c r="F58" i="50"/>
  <c r="Q58" i="50"/>
  <c r="F61" i="50"/>
  <c r="N61" i="50"/>
  <c r="O61" i="50"/>
  <c r="R61" i="50"/>
  <c r="S61" i="50"/>
  <c r="F62" i="50"/>
  <c r="N62" i="50"/>
  <c r="O62" i="50"/>
  <c r="R62" i="50"/>
  <c r="S62" i="50"/>
  <c r="F53" i="50"/>
  <c r="Q53" i="50"/>
  <c r="F59" i="50"/>
  <c r="Q59" i="50"/>
  <c r="F41" i="50"/>
  <c r="F34" i="50"/>
  <c r="F37" i="50"/>
  <c r="F54" i="50"/>
  <c r="Q54" i="50"/>
  <c r="F48" i="50"/>
  <c r="Q48" i="50"/>
  <c r="F56" i="50"/>
  <c r="Q56" i="50"/>
  <c r="F50" i="50"/>
  <c r="Q50" i="50"/>
  <c r="F51" i="50"/>
  <c r="Q51" i="50"/>
  <c r="F49" i="50"/>
  <c r="N49" i="50"/>
  <c r="O49" i="50"/>
  <c r="R49" i="50"/>
  <c r="S49" i="50"/>
  <c r="F52" i="50"/>
  <c r="Q52" i="50"/>
  <c r="F60" i="50"/>
  <c r="N60" i="50"/>
  <c r="O60" i="50"/>
  <c r="R60" i="50"/>
  <c r="S60" i="50"/>
  <c r="E44" i="36"/>
  <c r="L8" i="71"/>
  <c r="R8" i="71"/>
  <c r="L104" i="50"/>
  <c r="C105" i="50"/>
  <c r="C104" i="50"/>
  <c r="K31" i="38"/>
  <c r="J38" i="38"/>
  <c r="D30" i="34"/>
  <c r="D57" i="35"/>
  <c r="D19" i="87"/>
  <c r="G54" i="2"/>
  <c r="K29" i="38"/>
  <c r="L28" i="38"/>
  <c r="K30" i="38"/>
  <c r="K37" i="38"/>
  <c r="C167" i="11"/>
  <c r="C168" i="11"/>
  <c r="C169" i="11"/>
  <c r="C170" i="11"/>
  <c r="C171" i="11"/>
  <c r="C175" i="11"/>
  <c r="C176" i="11"/>
  <c r="J12" i="71"/>
  <c r="G30" i="35"/>
  <c r="G32" i="35"/>
  <c r="D181" i="54"/>
  <c r="G33" i="35"/>
  <c r="G11" i="36"/>
  <c r="F39" i="28"/>
  <c r="G27" i="35"/>
  <c r="G34" i="35"/>
  <c r="J13" i="71"/>
  <c r="R13" i="71"/>
  <c r="G31" i="35"/>
  <c r="G29" i="35"/>
  <c r="G28" i="35"/>
  <c r="G17" i="66"/>
  <c r="H163" i="11"/>
  <c r="H164" i="11"/>
  <c r="H165" i="11"/>
  <c r="H166" i="11"/>
  <c r="G177" i="2"/>
  <c r="E125" i="2"/>
  <c r="F125" i="2"/>
  <c r="C137" i="50"/>
  <c r="G47" i="35"/>
  <c r="I10" i="62"/>
  <c r="G12" i="36"/>
  <c r="G14" i="36"/>
  <c r="F12" i="66"/>
  <c r="H16" i="62"/>
  <c r="F7" i="34"/>
  <c r="F8" i="34"/>
  <c r="F15" i="36"/>
  <c r="F44" i="87"/>
  <c r="F20" i="34"/>
  <c r="F48" i="36"/>
  <c r="R10" i="71"/>
  <c r="F184" i="2"/>
  <c r="E104" i="2"/>
  <c r="G104" i="2"/>
  <c r="F53" i="86"/>
  <c r="L10" i="71"/>
  <c r="D34" i="11"/>
  <c r="D39" i="11"/>
  <c r="D21" i="11"/>
  <c r="D40" i="11"/>
  <c r="D26" i="11"/>
  <c r="D31" i="11"/>
  <c r="D23" i="11"/>
  <c r="D25" i="11"/>
  <c r="D19" i="11"/>
  <c r="D37" i="11"/>
  <c r="D33" i="11"/>
  <c r="D20" i="11"/>
  <c r="D41" i="11"/>
  <c r="D38" i="11"/>
  <c r="D22" i="11"/>
  <c r="D24" i="11"/>
  <c r="D29" i="11"/>
  <c r="C71" i="50"/>
  <c r="L70" i="50"/>
  <c r="C70" i="50"/>
  <c r="C25" i="4"/>
  <c r="D25" i="4"/>
  <c r="C27" i="4"/>
  <c r="D27" i="4"/>
  <c r="C30" i="4"/>
  <c r="D30" i="4"/>
  <c r="C29" i="4"/>
  <c r="D29" i="4"/>
  <c r="C23" i="4"/>
  <c r="D23" i="4"/>
  <c r="C22" i="4"/>
  <c r="D22" i="4"/>
  <c r="C31" i="4"/>
  <c r="D31" i="4"/>
  <c r="C32" i="4"/>
  <c r="D32" i="4"/>
  <c r="C26" i="4"/>
  <c r="D26" i="4"/>
  <c r="C28" i="4"/>
  <c r="D28" i="4"/>
  <c r="C24" i="4"/>
  <c r="D24" i="4"/>
  <c r="E12" i="66"/>
  <c r="G16" i="62"/>
  <c r="E20" i="34"/>
  <c r="E8" i="34"/>
  <c r="E7" i="34"/>
  <c r="E15" i="36"/>
  <c r="E44" i="87"/>
  <c r="E48" i="36"/>
  <c r="F185" i="2"/>
  <c r="E105" i="2"/>
  <c r="G105" i="2"/>
  <c r="C43" i="4"/>
  <c r="D43" i="4"/>
  <c r="C46" i="4"/>
  <c r="D46" i="4"/>
  <c r="C48" i="4"/>
  <c r="D48" i="4"/>
  <c r="C40" i="4"/>
  <c r="D40" i="4"/>
  <c r="C50" i="4"/>
  <c r="D50" i="4"/>
  <c r="C47" i="4"/>
  <c r="D47" i="4"/>
  <c r="C41" i="4"/>
  <c r="D41" i="4"/>
  <c r="C42" i="4"/>
  <c r="D42" i="4"/>
  <c r="C45" i="4"/>
  <c r="D45" i="4"/>
  <c r="C49" i="4"/>
  <c r="D49" i="4"/>
  <c r="C44" i="4"/>
  <c r="D44" i="4"/>
  <c r="Q55" i="50"/>
  <c r="N55" i="50"/>
  <c r="O55" i="50"/>
  <c r="R55" i="50"/>
  <c r="S55" i="50"/>
  <c r="G44" i="36"/>
  <c r="G43" i="87"/>
  <c r="G47" i="87"/>
  <c r="D54" i="35"/>
  <c r="D50" i="86"/>
  <c r="F56" i="35"/>
  <c r="F18" i="87"/>
  <c r="F52" i="86"/>
  <c r="N50" i="50"/>
  <c r="O50" i="50"/>
  <c r="R50" i="50"/>
  <c r="S50" i="50"/>
  <c r="Q61" i="50"/>
  <c r="Q62" i="50"/>
  <c r="N51" i="50"/>
  <c r="O51" i="50"/>
  <c r="R51" i="50"/>
  <c r="S51" i="50"/>
  <c r="Q57" i="50"/>
  <c r="N52" i="50"/>
  <c r="O52" i="50"/>
  <c r="R52" i="50"/>
  <c r="S52" i="50"/>
  <c r="N56" i="50"/>
  <c r="O56" i="50"/>
  <c r="R56" i="50"/>
  <c r="S56" i="50"/>
  <c r="G41" i="84"/>
  <c r="G17" i="84"/>
  <c r="N59" i="50"/>
  <c r="O59" i="50"/>
  <c r="R59" i="50"/>
  <c r="S59" i="50"/>
  <c r="N48" i="50"/>
  <c r="O48" i="50"/>
  <c r="R48" i="50"/>
  <c r="S48" i="50"/>
  <c r="I34" i="50"/>
  <c r="N58" i="50"/>
  <c r="O58" i="50"/>
  <c r="R58" i="50"/>
  <c r="S58" i="50"/>
  <c r="Q60" i="50"/>
  <c r="N54" i="50"/>
  <c r="O54" i="50"/>
  <c r="R54" i="50"/>
  <c r="S54" i="50"/>
  <c r="N53" i="50"/>
  <c r="O53" i="50"/>
  <c r="R53" i="50"/>
  <c r="S53" i="50"/>
  <c r="Q49" i="50"/>
  <c r="C73" i="50"/>
  <c r="C76" i="50"/>
  <c r="F86" i="50"/>
  <c r="C107" i="50"/>
  <c r="C110" i="50"/>
  <c r="F127" i="50"/>
  <c r="S10" i="71"/>
  <c r="E36" i="34"/>
  <c r="E11" i="34"/>
  <c r="C74" i="50"/>
  <c r="C77" i="50"/>
  <c r="D42" i="11"/>
  <c r="H37" i="11"/>
  <c r="E38" i="11"/>
  <c r="F57" i="35"/>
  <c r="F19" i="87"/>
  <c r="G110" i="2"/>
  <c r="F45" i="36"/>
  <c r="C58" i="4"/>
  <c r="D58" i="4"/>
  <c r="C60" i="4"/>
  <c r="D60" i="4"/>
  <c r="C59" i="4"/>
  <c r="D59" i="4"/>
  <c r="C62" i="4"/>
  <c r="D62" i="4"/>
  <c r="C66" i="4"/>
  <c r="D66" i="4"/>
  <c r="C63" i="4"/>
  <c r="D63" i="4"/>
  <c r="C67" i="4"/>
  <c r="D67" i="4"/>
  <c r="C61" i="4"/>
  <c r="D61" i="4"/>
  <c r="C57" i="4"/>
  <c r="D57" i="4"/>
  <c r="C64" i="4"/>
  <c r="D64" i="4"/>
  <c r="C65" i="4"/>
  <c r="D65" i="4"/>
  <c r="R12" i="71"/>
  <c r="G184" i="2"/>
  <c r="E132" i="2"/>
  <c r="G132" i="2"/>
  <c r="G53" i="86"/>
  <c r="L12" i="71"/>
  <c r="F39" i="4"/>
  <c r="E37" i="34"/>
  <c r="E33" i="34"/>
  <c r="H27" i="11"/>
  <c r="I27" i="11"/>
  <c r="L29" i="38"/>
  <c r="M28" i="38"/>
  <c r="D20" i="36"/>
  <c r="E184" i="2"/>
  <c r="E76" i="2"/>
  <c r="G76" i="2"/>
  <c r="E53" i="86"/>
  <c r="S8" i="71"/>
  <c r="E45" i="36"/>
  <c r="E21" i="34"/>
  <c r="E38" i="34"/>
  <c r="E34" i="34"/>
  <c r="F21" i="4"/>
  <c r="H29" i="11"/>
  <c r="I29" i="11"/>
  <c r="F21" i="34"/>
  <c r="F38" i="34"/>
  <c r="F34" i="34"/>
  <c r="F37" i="34"/>
  <c r="F33" i="34"/>
  <c r="L138" i="50"/>
  <c r="C139" i="50"/>
  <c r="C138" i="50"/>
  <c r="L31" i="38"/>
  <c r="K38" i="38"/>
  <c r="C108" i="50"/>
  <c r="C111" i="50"/>
  <c r="F19" i="36"/>
  <c r="H24" i="11"/>
  <c r="I24" i="11"/>
  <c r="H23" i="11"/>
  <c r="I23" i="11"/>
  <c r="H26" i="11"/>
  <c r="I26" i="11"/>
  <c r="H18" i="11"/>
  <c r="H19" i="11"/>
  <c r="D16" i="38"/>
  <c r="H25" i="11"/>
  <c r="I25" i="11"/>
  <c r="H31" i="11"/>
  <c r="I31" i="11"/>
  <c r="H30" i="11"/>
  <c r="I30" i="11"/>
  <c r="F36" i="34"/>
  <c r="F11" i="34"/>
  <c r="G185" i="2"/>
  <c r="E133" i="2"/>
  <c r="G133" i="2"/>
  <c r="G20" i="34"/>
  <c r="G48" i="36"/>
  <c r="G12" i="66"/>
  <c r="I16" i="62"/>
  <c r="G7" i="34"/>
  <c r="G8" i="34"/>
  <c r="G15" i="36"/>
  <c r="G44" i="87"/>
  <c r="H10" i="87"/>
  <c r="H14" i="87"/>
  <c r="H11" i="87"/>
  <c r="H13" i="87"/>
  <c r="D17" i="36"/>
  <c r="D16" i="87"/>
  <c r="F62" i="35"/>
  <c r="F58" i="86"/>
  <c r="I37" i="50"/>
  <c r="E63" i="35"/>
  <c r="E59" i="86"/>
  <c r="F54" i="35"/>
  <c r="F50" i="86"/>
  <c r="H11" i="36"/>
  <c r="H27" i="86"/>
  <c r="H23" i="86"/>
  <c r="H30" i="86"/>
  <c r="H26" i="86"/>
  <c r="H29" i="86"/>
  <c r="H25" i="86"/>
  <c r="H24" i="86"/>
  <c r="H28" i="86"/>
  <c r="H43" i="86"/>
  <c r="G56" i="35"/>
  <c r="G52" i="86"/>
  <c r="F63" i="35"/>
  <c r="F59" i="86"/>
  <c r="E62" i="35"/>
  <c r="E58" i="86"/>
  <c r="H33" i="35"/>
  <c r="C171" i="50"/>
  <c r="C173" i="50"/>
  <c r="H31" i="35"/>
  <c r="H27" i="35"/>
  <c r="H34" i="35"/>
  <c r="D214" i="54"/>
  <c r="H29" i="35"/>
  <c r="H28" i="35"/>
  <c r="H47" i="35"/>
  <c r="C208" i="11"/>
  <c r="C209" i="11"/>
  <c r="C210" i="11"/>
  <c r="C211" i="11"/>
  <c r="C212" i="11"/>
  <c r="C216" i="11"/>
  <c r="C217" i="11"/>
  <c r="H204" i="11"/>
  <c r="H205" i="11"/>
  <c r="H206" i="11"/>
  <c r="H207" i="11"/>
  <c r="H177" i="2"/>
  <c r="E153" i="2"/>
  <c r="F153" i="2"/>
  <c r="H12" i="36"/>
  <c r="H14" i="36"/>
  <c r="J15" i="71"/>
  <c r="R15" i="71"/>
  <c r="H185" i="2"/>
  <c r="E161" i="2"/>
  <c r="G161" i="2"/>
  <c r="J14" i="71"/>
  <c r="H32" i="35"/>
  <c r="H30" i="35"/>
  <c r="J10" i="62"/>
  <c r="H17" i="66"/>
  <c r="G39" i="28"/>
  <c r="F129" i="50"/>
  <c r="Q129" i="50"/>
  <c r="F120" i="50"/>
  <c r="N120" i="50"/>
  <c r="O120" i="50"/>
  <c r="R120" i="50"/>
  <c r="S120" i="50"/>
  <c r="F125" i="50"/>
  <c r="N125" i="50"/>
  <c r="O125" i="50"/>
  <c r="R125" i="50"/>
  <c r="S125" i="50"/>
  <c r="F102" i="50"/>
  <c r="F105" i="50"/>
  <c r="E41" i="11"/>
  <c r="F93" i="50"/>
  <c r="Q93" i="50"/>
  <c r="F94" i="50"/>
  <c r="Q94" i="50"/>
  <c r="F128" i="50"/>
  <c r="N128" i="50"/>
  <c r="O128" i="50"/>
  <c r="R128" i="50"/>
  <c r="S128" i="50"/>
  <c r="F122" i="50"/>
  <c r="Q122" i="50"/>
  <c r="F123" i="50"/>
  <c r="N123" i="50"/>
  <c r="O123" i="50"/>
  <c r="R123" i="50"/>
  <c r="S123" i="50"/>
  <c r="F119" i="50"/>
  <c r="Q119" i="50"/>
  <c r="F130" i="50"/>
  <c r="Q130" i="50"/>
  <c r="F121" i="50"/>
  <c r="Q121" i="50"/>
  <c r="F117" i="50"/>
  <c r="Q117" i="50"/>
  <c r="F126" i="50"/>
  <c r="Q126" i="50"/>
  <c r="F116" i="50"/>
  <c r="Q116" i="50"/>
  <c r="F82" i="50"/>
  <c r="N82" i="50"/>
  <c r="O82" i="50"/>
  <c r="R82" i="50"/>
  <c r="S82" i="50"/>
  <c r="I68" i="50"/>
  <c r="F118" i="50"/>
  <c r="N118" i="50"/>
  <c r="O118" i="50"/>
  <c r="R118" i="50"/>
  <c r="S118" i="50"/>
  <c r="F109" i="50"/>
  <c r="F124" i="50"/>
  <c r="Q124" i="50"/>
  <c r="F89" i="50"/>
  <c r="Q89" i="50"/>
  <c r="S12" i="71"/>
  <c r="E40" i="11"/>
  <c r="E39" i="11"/>
  <c r="F90" i="50"/>
  <c r="Q90" i="50"/>
  <c r="F68" i="50"/>
  <c r="F71" i="50"/>
  <c r="F92" i="50"/>
  <c r="N92" i="50"/>
  <c r="O92" i="50"/>
  <c r="R92" i="50"/>
  <c r="S92" i="50"/>
  <c r="E25" i="11"/>
  <c r="F85" i="50"/>
  <c r="N85" i="50"/>
  <c r="O85" i="50"/>
  <c r="R85" i="50"/>
  <c r="S85" i="50"/>
  <c r="E27" i="11"/>
  <c r="F84" i="50"/>
  <c r="Q84" i="50"/>
  <c r="F95" i="50"/>
  <c r="N95" i="50"/>
  <c r="O95" i="50"/>
  <c r="R95" i="50"/>
  <c r="S95" i="50"/>
  <c r="F83" i="50"/>
  <c r="Q83" i="50"/>
  <c r="F87" i="50"/>
  <c r="N87" i="50"/>
  <c r="O87" i="50"/>
  <c r="R87" i="50"/>
  <c r="S87" i="50"/>
  <c r="F88" i="50"/>
  <c r="N88" i="50"/>
  <c r="O88" i="50"/>
  <c r="R88" i="50"/>
  <c r="S88" i="50"/>
  <c r="F96" i="50"/>
  <c r="N96" i="50"/>
  <c r="O96" i="50"/>
  <c r="R96" i="50"/>
  <c r="S96" i="50"/>
  <c r="F75" i="50"/>
  <c r="F91" i="50"/>
  <c r="N91" i="50"/>
  <c r="O91" i="50"/>
  <c r="R91" i="50"/>
  <c r="S91" i="50"/>
  <c r="E37" i="11"/>
  <c r="E42" i="11"/>
  <c r="E28" i="11"/>
  <c r="C142" i="50"/>
  <c r="C145" i="50"/>
  <c r="G161" i="50"/>
  <c r="E34" i="11"/>
  <c r="D47" i="38"/>
  <c r="D14" i="38"/>
  <c r="D65" i="11"/>
  <c r="D80" i="11"/>
  <c r="D82" i="11"/>
  <c r="D75" i="11"/>
  <c r="D62" i="11"/>
  <c r="D69" i="11"/>
  <c r="D60" i="11"/>
  <c r="D64" i="11"/>
  <c r="D81" i="11"/>
  <c r="D73" i="11"/>
  <c r="D79" i="11"/>
  <c r="D71" i="11"/>
  <c r="D67" i="11"/>
  <c r="D70" i="11"/>
  <c r="D72" i="11"/>
  <c r="D61" i="11"/>
  <c r="D66" i="11"/>
  <c r="D63" i="11"/>
  <c r="D74" i="11"/>
  <c r="D68" i="11"/>
  <c r="D78" i="11"/>
  <c r="E57" i="35"/>
  <c r="E19" i="87"/>
  <c r="G82" i="2"/>
  <c r="M29" i="38"/>
  <c r="N28" i="38"/>
  <c r="E30" i="11"/>
  <c r="N127" i="50"/>
  <c r="O127" i="50"/>
  <c r="R127" i="50"/>
  <c r="S127" i="50"/>
  <c r="Q127" i="50"/>
  <c r="G57" i="35"/>
  <c r="G19" i="87"/>
  <c r="G138" i="2"/>
  <c r="Q86" i="50"/>
  <c r="N86" i="50"/>
  <c r="O86" i="50"/>
  <c r="R86" i="50"/>
  <c r="S86" i="50"/>
  <c r="G38" i="34"/>
  <c r="G21" i="34"/>
  <c r="G34" i="34"/>
  <c r="D17" i="38"/>
  <c r="D49" i="38"/>
  <c r="O22" i="38"/>
  <c r="N22" i="38"/>
  <c r="C141" i="50"/>
  <c r="C144" i="50"/>
  <c r="E26" i="11"/>
  <c r="E18" i="11"/>
  <c r="E35" i="11"/>
  <c r="D109" i="11"/>
  <c r="D102" i="11"/>
  <c r="D111" i="11"/>
  <c r="D123" i="11"/>
  <c r="D114" i="11"/>
  <c r="D106" i="11"/>
  <c r="D115" i="11"/>
  <c r="D108" i="11"/>
  <c r="D101" i="11"/>
  <c r="D110" i="11"/>
  <c r="D120" i="11"/>
  <c r="D112" i="11"/>
  <c r="D107" i="11"/>
  <c r="D113" i="11"/>
  <c r="D122" i="11"/>
  <c r="D103" i="11"/>
  <c r="D105" i="11"/>
  <c r="D116" i="11"/>
  <c r="D119" i="11"/>
  <c r="D104" i="11"/>
  <c r="D121" i="11"/>
  <c r="F56" i="4"/>
  <c r="F20" i="36"/>
  <c r="G82" i="50"/>
  <c r="G87" i="50"/>
  <c r="G92" i="50"/>
  <c r="G94" i="50"/>
  <c r="G93" i="50"/>
  <c r="G83" i="50"/>
  <c r="G91" i="50"/>
  <c r="G86" i="50"/>
  <c r="G88" i="50"/>
  <c r="G95" i="50"/>
  <c r="G85" i="50"/>
  <c r="G89" i="50"/>
  <c r="G90" i="50"/>
  <c r="G96" i="50"/>
  <c r="G84" i="50"/>
  <c r="G36" i="34"/>
  <c r="G11" i="34"/>
  <c r="L38" i="38"/>
  <c r="M31" i="38"/>
  <c r="E19" i="11"/>
  <c r="E31" i="11"/>
  <c r="E29" i="11"/>
  <c r="E21" i="11"/>
  <c r="C81" i="54"/>
  <c r="D81" i="54"/>
  <c r="C66" i="54"/>
  <c r="D202" i="2"/>
  <c r="D41" i="2"/>
  <c r="G41" i="2"/>
  <c r="G45" i="36"/>
  <c r="G117" i="50"/>
  <c r="G120" i="50"/>
  <c r="G127" i="50"/>
  <c r="G128" i="50"/>
  <c r="G129" i="50"/>
  <c r="G125" i="50"/>
  <c r="G118" i="50"/>
  <c r="G116" i="50"/>
  <c r="G119" i="50"/>
  <c r="G122" i="50"/>
  <c r="G124" i="50"/>
  <c r="G121" i="50"/>
  <c r="G130" i="50"/>
  <c r="G123" i="50"/>
  <c r="G126" i="50"/>
  <c r="G33" i="34"/>
  <c r="G37" i="34"/>
  <c r="F30" i="34"/>
  <c r="I32" i="11"/>
  <c r="E22" i="11"/>
  <c r="E33" i="11"/>
  <c r="E24" i="11"/>
  <c r="L30" i="38"/>
  <c r="L37" i="38"/>
  <c r="E32" i="11"/>
  <c r="E23" i="11"/>
  <c r="E20" i="11"/>
  <c r="E30" i="34"/>
  <c r="E9" i="39"/>
  <c r="H43" i="87"/>
  <c r="G19" i="36"/>
  <c r="G18" i="87"/>
  <c r="H20" i="34"/>
  <c r="H34" i="34"/>
  <c r="H47" i="87"/>
  <c r="D47" i="36"/>
  <c r="D46" i="87"/>
  <c r="F17" i="36"/>
  <c r="F16" i="87"/>
  <c r="C172" i="50"/>
  <c r="H7" i="34"/>
  <c r="H36" i="34"/>
  <c r="N122" i="50"/>
  <c r="O122" i="50"/>
  <c r="R122" i="50"/>
  <c r="S122" i="50"/>
  <c r="H15" i="36"/>
  <c r="H48" i="36"/>
  <c r="J16" i="62"/>
  <c r="H44" i="36"/>
  <c r="L172" i="50"/>
  <c r="H8" i="34"/>
  <c r="H33" i="34"/>
  <c r="H12" i="66"/>
  <c r="G63" i="35"/>
  <c r="G59" i="86"/>
  <c r="G54" i="35"/>
  <c r="G50" i="86"/>
  <c r="D58" i="35"/>
  <c r="D54" i="86"/>
  <c r="G62" i="35"/>
  <c r="G58" i="86"/>
  <c r="E54" i="35"/>
  <c r="E50" i="86"/>
  <c r="C15" i="86"/>
  <c r="C19" i="86"/>
  <c r="C64" i="86"/>
  <c r="H56" i="35"/>
  <c r="H52" i="86"/>
  <c r="L14" i="71"/>
  <c r="R14" i="71"/>
  <c r="H184" i="2"/>
  <c r="E160" i="2"/>
  <c r="G160" i="2"/>
  <c r="Q118" i="50"/>
  <c r="N129" i="50"/>
  <c r="O129" i="50"/>
  <c r="R129" i="50"/>
  <c r="S129" i="50"/>
  <c r="C76" i="4"/>
  <c r="D76" i="4"/>
  <c r="C80" i="4"/>
  <c r="D80" i="4"/>
  <c r="C75" i="4"/>
  <c r="D75" i="4"/>
  <c r="C83" i="4"/>
  <c r="D83" i="4"/>
  <c r="C74" i="4"/>
  <c r="D74" i="4"/>
  <c r="C79" i="4"/>
  <c r="D79" i="4"/>
  <c r="C81" i="4"/>
  <c r="D81" i="4"/>
  <c r="C78" i="4"/>
  <c r="D78" i="4"/>
  <c r="C82" i="4"/>
  <c r="D82" i="4"/>
  <c r="Q120" i="50"/>
  <c r="C77" i="4"/>
  <c r="D77" i="4"/>
  <c r="C84" i="4"/>
  <c r="D84" i="4"/>
  <c r="N94" i="50"/>
  <c r="O94" i="50"/>
  <c r="R94" i="50"/>
  <c r="S94" i="50"/>
  <c r="Q125" i="50"/>
  <c r="N93" i="50"/>
  <c r="O93" i="50"/>
  <c r="R93" i="50"/>
  <c r="S93" i="50"/>
  <c r="Q87" i="50"/>
  <c r="N130" i="50"/>
  <c r="O130" i="50"/>
  <c r="R130" i="50"/>
  <c r="S130" i="50"/>
  <c r="N124" i="50"/>
  <c r="O124" i="50"/>
  <c r="R124" i="50"/>
  <c r="S124" i="50"/>
  <c r="N117" i="50"/>
  <c r="O117" i="50"/>
  <c r="R117" i="50"/>
  <c r="S117" i="50"/>
  <c r="N116" i="50"/>
  <c r="O116" i="50"/>
  <c r="R116" i="50"/>
  <c r="S116" i="50"/>
  <c r="I102" i="50"/>
  <c r="Q128" i="50"/>
  <c r="Q92" i="50"/>
  <c r="Q91" i="50"/>
  <c r="N84" i="50"/>
  <c r="O84" i="50"/>
  <c r="R84" i="50"/>
  <c r="S84" i="50"/>
  <c r="Q88" i="50"/>
  <c r="N89" i="50"/>
  <c r="O89" i="50"/>
  <c r="R89" i="50"/>
  <c r="S89" i="50"/>
  <c r="Q82" i="50"/>
  <c r="N121" i="50"/>
  <c r="O121" i="50"/>
  <c r="R121" i="50"/>
  <c r="S121" i="50"/>
  <c r="Q123" i="50"/>
  <c r="Q85" i="50"/>
  <c r="N119" i="50"/>
  <c r="O119" i="50"/>
  <c r="R119" i="50"/>
  <c r="S119" i="50"/>
  <c r="N126" i="50"/>
  <c r="O126" i="50"/>
  <c r="R126" i="50"/>
  <c r="S126" i="50"/>
  <c r="Q96" i="50"/>
  <c r="Q95" i="50"/>
  <c r="N90" i="50"/>
  <c r="O90" i="50"/>
  <c r="R90" i="50"/>
  <c r="S90" i="50"/>
  <c r="N83" i="50"/>
  <c r="O83" i="50"/>
  <c r="R83" i="50"/>
  <c r="S83" i="50"/>
  <c r="G157" i="50"/>
  <c r="G151" i="50"/>
  <c r="G153" i="50"/>
  <c r="G164" i="50"/>
  <c r="G163" i="50"/>
  <c r="G159" i="50"/>
  <c r="G158" i="50"/>
  <c r="G162" i="50"/>
  <c r="G154" i="50"/>
  <c r="G152" i="50"/>
  <c r="G156" i="50"/>
  <c r="G150" i="50"/>
  <c r="G160" i="50"/>
  <c r="G155" i="50"/>
  <c r="C176" i="50"/>
  <c r="C179" i="50"/>
  <c r="G192" i="50"/>
  <c r="I71" i="50"/>
  <c r="C68" i="35"/>
  <c r="H111" i="11"/>
  <c r="O26" i="38"/>
  <c r="E20" i="36"/>
  <c r="D40" i="2"/>
  <c r="G40" i="2"/>
  <c r="D7" i="56"/>
  <c r="D12" i="56"/>
  <c r="D44" i="86"/>
  <c r="G53" i="2"/>
  <c r="H38" i="34"/>
  <c r="M38" i="38"/>
  <c r="H109" i="11"/>
  <c r="K55" i="38"/>
  <c r="J55" i="38"/>
  <c r="L55" i="38"/>
  <c r="D50" i="38"/>
  <c r="H65" i="11"/>
  <c r="H67" i="11"/>
  <c r="H64" i="11"/>
  <c r="H72" i="11"/>
  <c r="D12" i="2"/>
  <c r="C175" i="50"/>
  <c r="C178" i="50"/>
  <c r="F9" i="39"/>
  <c r="H11" i="34"/>
  <c r="D145" i="11"/>
  <c r="D162" i="11"/>
  <c r="D164" i="11"/>
  <c r="D151" i="11"/>
  <c r="D144" i="11"/>
  <c r="D152" i="11"/>
  <c r="D149" i="11"/>
  <c r="D156" i="11"/>
  <c r="D163" i="11"/>
  <c r="D147" i="11"/>
  <c r="D153" i="11"/>
  <c r="D146" i="11"/>
  <c r="D154" i="11"/>
  <c r="D148" i="11"/>
  <c r="D155" i="11"/>
  <c r="D161" i="11"/>
  <c r="D150" i="11"/>
  <c r="D157" i="11"/>
  <c r="D142" i="11"/>
  <c r="D143" i="11"/>
  <c r="H108" i="11"/>
  <c r="H105" i="11"/>
  <c r="H106" i="11"/>
  <c r="H104" i="11"/>
  <c r="H100" i="11"/>
  <c r="H101" i="11"/>
  <c r="D114" i="38"/>
  <c r="H107" i="11"/>
  <c r="F156" i="50"/>
  <c r="F143" i="50"/>
  <c r="F154" i="50"/>
  <c r="F153" i="50"/>
  <c r="F150" i="50"/>
  <c r="F162" i="50"/>
  <c r="F163" i="50"/>
  <c r="F161" i="50"/>
  <c r="F155" i="50"/>
  <c r="F151" i="50"/>
  <c r="F158" i="50"/>
  <c r="F136" i="50"/>
  <c r="F139" i="50"/>
  <c r="F160" i="50"/>
  <c r="F159" i="50"/>
  <c r="F157" i="50"/>
  <c r="F164" i="50"/>
  <c r="F152" i="50"/>
  <c r="G20" i="36"/>
  <c r="M30" i="38"/>
  <c r="M37" i="38"/>
  <c r="H78" i="11"/>
  <c r="E82" i="11"/>
  <c r="D83" i="11"/>
  <c r="H59" i="11"/>
  <c r="H60" i="11"/>
  <c r="D81" i="38"/>
  <c r="H70" i="11"/>
  <c r="H68" i="11"/>
  <c r="F73" i="4"/>
  <c r="G30" i="34"/>
  <c r="G9" i="39"/>
  <c r="H119" i="11"/>
  <c r="E121" i="11"/>
  <c r="D124" i="11"/>
  <c r="H112" i="11"/>
  <c r="H113" i="11"/>
  <c r="N26" i="38"/>
  <c r="N29" i="38"/>
  <c r="H66" i="11"/>
  <c r="H63" i="11"/>
  <c r="H71" i="11"/>
  <c r="H21" i="34"/>
  <c r="C15" i="87"/>
  <c r="C20" i="87"/>
  <c r="F47" i="36"/>
  <c r="F46" i="87"/>
  <c r="H19" i="36"/>
  <c r="H18" i="87"/>
  <c r="E17" i="36"/>
  <c r="E16" i="87"/>
  <c r="C23" i="36"/>
  <c r="D22" i="87"/>
  <c r="C22" i="87"/>
  <c r="G17" i="36"/>
  <c r="G16" i="87"/>
  <c r="H45" i="36"/>
  <c r="H44" i="87"/>
  <c r="H37" i="34"/>
  <c r="H62" i="35"/>
  <c r="D23" i="36"/>
  <c r="I105" i="50"/>
  <c r="D45" i="86"/>
  <c r="L42" i="86"/>
  <c r="C66" i="86"/>
  <c r="H63" i="35"/>
  <c r="H59" i="86"/>
  <c r="H57" i="35"/>
  <c r="H53" i="86"/>
  <c r="G166" i="2"/>
  <c r="S14" i="71"/>
  <c r="E68" i="11"/>
  <c r="E81" i="11"/>
  <c r="E80" i="11"/>
  <c r="G191" i="50"/>
  <c r="E62" i="11"/>
  <c r="E61" i="11"/>
  <c r="G198" i="50"/>
  <c r="G184" i="50"/>
  <c r="G187" i="50"/>
  <c r="G189" i="50"/>
  <c r="G194" i="50"/>
  <c r="G193" i="50"/>
  <c r="E65" i="11"/>
  <c r="E67" i="11"/>
  <c r="E69" i="11"/>
  <c r="E78" i="11"/>
  <c r="E83" i="11"/>
  <c r="G186" i="50"/>
  <c r="G190" i="50"/>
  <c r="G196" i="50"/>
  <c r="G188" i="50"/>
  <c r="G195" i="50"/>
  <c r="G185" i="50"/>
  <c r="G197" i="50"/>
  <c r="E123" i="11"/>
  <c r="E108" i="11"/>
  <c r="E122" i="11"/>
  <c r="E119" i="11"/>
  <c r="E124" i="11"/>
  <c r="E73" i="11"/>
  <c r="E66" i="11"/>
  <c r="E109" i="11"/>
  <c r="E103" i="11"/>
  <c r="E120" i="11"/>
  <c r="O28" i="38"/>
  <c r="N30" i="38"/>
  <c r="N37" i="38"/>
  <c r="I63" i="11"/>
  <c r="K73" i="11"/>
  <c r="J63" i="11"/>
  <c r="K63" i="11"/>
  <c r="K74" i="11"/>
  <c r="J112" i="11"/>
  <c r="K112" i="11"/>
  <c r="I112" i="11"/>
  <c r="H87" i="38"/>
  <c r="I87" i="38"/>
  <c r="G87" i="38"/>
  <c r="D82" i="38"/>
  <c r="Q157" i="50"/>
  <c r="N157" i="50"/>
  <c r="O157" i="50"/>
  <c r="R157" i="50"/>
  <c r="S157" i="50"/>
  <c r="N158" i="50"/>
  <c r="O158" i="50"/>
  <c r="R158" i="50"/>
  <c r="S158" i="50"/>
  <c r="Q158" i="50"/>
  <c r="Q163" i="50"/>
  <c r="N163" i="50"/>
  <c r="O163" i="50"/>
  <c r="R163" i="50"/>
  <c r="S163" i="50"/>
  <c r="N154" i="50"/>
  <c r="O154" i="50"/>
  <c r="R154" i="50"/>
  <c r="S154" i="50"/>
  <c r="Q154" i="50"/>
  <c r="I107" i="11"/>
  <c r="J107" i="11"/>
  <c r="K107" i="11"/>
  <c r="E101" i="11"/>
  <c r="I106" i="11"/>
  <c r="J106" i="11"/>
  <c r="K106" i="11"/>
  <c r="H152" i="11"/>
  <c r="H141" i="11"/>
  <c r="E151" i="11"/>
  <c r="H30" i="34"/>
  <c r="H9" i="39"/>
  <c r="E79" i="11"/>
  <c r="I67" i="11"/>
  <c r="J67" i="11"/>
  <c r="K67" i="11"/>
  <c r="E106" i="11"/>
  <c r="N12" i="58"/>
  <c r="E72" i="11"/>
  <c r="E100" i="11"/>
  <c r="E117" i="11"/>
  <c r="C5" i="57"/>
  <c r="G5" i="57"/>
  <c r="D25" i="87"/>
  <c r="D27" i="87"/>
  <c r="C10" i="39"/>
  <c r="C6" i="57"/>
  <c r="G6" i="57"/>
  <c r="E25" i="87"/>
  <c r="E27" i="87"/>
  <c r="C7" i="57"/>
  <c r="G7" i="57"/>
  <c r="F25" i="87"/>
  <c r="F27" i="87"/>
  <c r="C4" i="57"/>
  <c r="C8" i="57"/>
  <c r="G8" i="57"/>
  <c r="G25" i="87"/>
  <c r="G27" i="87"/>
  <c r="C70" i="35"/>
  <c r="C14" i="34"/>
  <c r="C16" i="34"/>
  <c r="C9" i="57"/>
  <c r="G9" i="57"/>
  <c r="H25" i="87"/>
  <c r="H27" i="87"/>
  <c r="C147" i="54"/>
  <c r="F202" i="2"/>
  <c r="D97" i="2"/>
  <c r="G97" i="2"/>
  <c r="D79" i="38"/>
  <c r="Q159" i="50"/>
  <c r="N159" i="50"/>
  <c r="O159" i="50"/>
  <c r="R159" i="50"/>
  <c r="S159" i="50"/>
  <c r="Q151" i="50"/>
  <c r="N151" i="50"/>
  <c r="O151" i="50"/>
  <c r="R151" i="50"/>
  <c r="S151" i="50"/>
  <c r="N162" i="50"/>
  <c r="O162" i="50"/>
  <c r="R162" i="50"/>
  <c r="S162" i="50"/>
  <c r="Q162" i="50"/>
  <c r="H120" i="38"/>
  <c r="D115" i="38"/>
  <c r="I120" i="38"/>
  <c r="E112" i="11"/>
  <c r="I105" i="11"/>
  <c r="J105" i="11"/>
  <c r="K105" i="11"/>
  <c r="E70" i="11"/>
  <c r="J65" i="11"/>
  <c r="K65" i="11"/>
  <c r="I65" i="11"/>
  <c r="E110" i="11"/>
  <c r="I109" i="11"/>
  <c r="J109" i="11"/>
  <c r="K109" i="11"/>
  <c r="E75" i="11"/>
  <c r="E74" i="11"/>
  <c r="E111" i="11"/>
  <c r="D145" i="38"/>
  <c r="D112" i="38"/>
  <c r="J71" i="11"/>
  <c r="K71" i="11"/>
  <c r="I71" i="11"/>
  <c r="I66" i="11"/>
  <c r="J66" i="11"/>
  <c r="K66" i="11"/>
  <c r="I68" i="11"/>
  <c r="J68" i="11"/>
  <c r="K68" i="11"/>
  <c r="I70" i="11"/>
  <c r="J70" i="11"/>
  <c r="K70" i="11"/>
  <c r="Q152" i="50"/>
  <c r="N152" i="50"/>
  <c r="O152" i="50"/>
  <c r="R152" i="50"/>
  <c r="S152" i="50"/>
  <c r="N160" i="50"/>
  <c r="O160" i="50"/>
  <c r="R160" i="50"/>
  <c r="S160" i="50"/>
  <c r="Q160" i="50"/>
  <c r="N155" i="50"/>
  <c r="O155" i="50"/>
  <c r="R155" i="50"/>
  <c r="S155" i="50"/>
  <c r="Q155" i="50"/>
  <c r="Q150" i="50"/>
  <c r="N150" i="50"/>
  <c r="O150" i="50"/>
  <c r="R150" i="50"/>
  <c r="S150" i="50"/>
  <c r="I136" i="50"/>
  <c r="N156" i="50"/>
  <c r="O156" i="50"/>
  <c r="R156" i="50"/>
  <c r="S156" i="50"/>
  <c r="Q156" i="50"/>
  <c r="I104" i="11"/>
  <c r="K114" i="11"/>
  <c r="J104" i="11"/>
  <c r="K104" i="11"/>
  <c r="K115" i="11"/>
  <c r="I108" i="11"/>
  <c r="J108" i="11"/>
  <c r="K108" i="11"/>
  <c r="H150" i="11"/>
  <c r="F192" i="50"/>
  <c r="F193" i="50"/>
  <c r="F170" i="50"/>
  <c r="F173" i="50"/>
  <c r="F195" i="50"/>
  <c r="F188" i="50"/>
  <c r="F189" i="50"/>
  <c r="F185" i="50"/>
  <c r="F198" i="50"/>
  <c r="F187" i="50"/>
  <c r="F197" i="50"/>
  <c r="F196" i="50"/>
  <c r="F191" i="50"/>
  <c r="F194" i="50"/>
  <c r="F177" i="50"/>
  <c r="F184" i="50"/>
  <c r="F190" i="50"/>
  <c r="F186" i="50"/>
  <c r="J72" i="11"/>
  <c r="K72" i="11"/>
  <c r="I72" i="11"/>
  <c r="I64" i="11"/>
  <c r="J64" i="11"/>
  <c r="K64" i="11"/>
  <c r="E107" i="11"/>
  <c r="N31" i="38"/>
  <c r="D48" i="35"/>
  <c r="D12" i="87"/>
  <c r="D13" i="56"/>
  <c r="E64" i="11"/>
  <c r="E115" i="11"/>
  <c r="E113" i="11"/>
  <c r="J113" i="11"/>
  <c r="K113" i="11"/>
  <c r="I113" i="11"/>
  <c r="D180" i="38"/>
  <c r="E59" i="11"/>
  <c r="E76" i="11"/>
  <c r="C114" i="54"/>
  <c r="D114" i="54"/>
  <c r="C99" i="54"/>
  <c r="E202" i="2"/>
  <c r="D69" i="2"/>
  <c r="G69" i="2"/>
  <c r="Q164" i="50"/>
  <c r="N164" i="50"/>
  <c r="O164" i="50"/>
  <c r="R164" i="50"/>
  <c r="S164" i="50"/>
  <c r="N161" i="50"/>
  <c r="O161" i="50"/>
  <c r="R161" i="50"/>
  <c r="S161" i="50"/>
  <c r="Q161" i="50"/>
  <c r="N153" i="50"/>
  <c r="O153" i="50"/>
  <c r="R153" i="50"/>
  <c r="S153" i="50"/>
  <c r="Q153" i="50"/>
  <c r="E114" i="11"/>
  <c r="E104" i="11"/>
  <c r="H145" i="11"/>
  <c r="H148" i="11"/>
  <c r="H154" i="11"/>
  <c r="H153" i="11"/>
  <c r="H147" i="11"/>
  <c r="H149" i="11"/>
  <c r="H146" i="11"/>
  <c r="E60" i="11"/>
  <c r="E63" i="11"/>
  <c r="E102" i="11"/>
  <c r="E105" i="11"/>
  <c r="G52" i="2"/>
  <c r="E189" i="2"/>
  <c r="E190" i="2"/>
  <c r="E191" i="2"/>
  <c r="C176" i="2"/>
  <c r="E12" i="2"/>
  <c r="F12" i="2"/>
  <c r="G51" i="2"/>
  <c r="E71" i="11"/>
  <c r="J111" i="11"/>
  <c r="K111" i="11"/>
  <c r="I111" i="11"/>
  <c r="E116" i="11"/>
  <c r="G47" i="36"/>
  <c r="G46" i="87"/>
  <c r="H20" i="36"/>
  <c r="H19" i="87"/>
  <c r="E47" i="36"/>
  <c r="E46" i="87"/>
  <c r="H58" i="86"/>
  <c r="E58" i="35"/>
  <c r="E54" i="86"/>
  <c r="D46" i="86"/>
  <c r="L40" i="86"/>
  <c r="L43" i="86"/>
  <c r="L41" i="86"/>
  <c r="E68" i="35"/>
  <c r="C21" i="57"/>
  <c r="E64" i="86"/>
  <c r="D48" i="86"/>
  <c r="D68" i="35"/>
  <c r="C13" i="57"/>
  <c r="D64" i="86"/>
  <c r="D66" i="86"/>
  <c r="H54" i="35"/>
  <c r="H50" i="86"/>
  <c r="E142" i="11"/>
  <c r="E147" i="11"/>
  <c r="E145" i="11"/>
  <c r="E146" i="11"/>
  <c r="E154" i="11"/>
  <c r="E143" i="11"/>
  <c r="E157" i="11"/>
  <c r="E153" i="11"/>
  <c r="E148" i="11"/>
  <c r="E149" i="11"/>
  <c r="E144" i="11"/>
  <c r="E150" i="11"/>
  <c r="E152" i="11"/>
  <c r="E155" i="11"/>
  <c r="J149" i="11"/>
  <c r="K149" i="11"/>
  <c r="I149" i="11"/>
  <c r="I148" i="11"/>
  <c r="J148" i="11"/>
  <c r="K148" i="11"/>
  <c r="Q186" i="50"/>
  <c r="N186" i="50"/>
  <c r="O186" i="50"/>
  <c r="R186" i="50"/>
  <c r="S186" i="50"/>
  <c r="Q194" i="50"/>
  <c r="N194" i="50"/>
  <c r="O194" i="50"/>
  <c r="R194" i="50"/>
  <c r="S194" i="50"/>
  <c r="Q187" i="50"/>
  <c r="N187" i="50"/>
  <c r="O187" i="50"/>
  <c r="R187" i="50"/>
  <c r="S187" i="50"/>
  <c r="N188" i="50"/>
  <c r="O188" i="50"/>
  <c r="R188" i="50"/>
  <c r="S188" i="50"/>
  <c r="Q188" i="50"/>
  <c r="N192" i="50"/>
  <c r="O192" i="50"/>
  <c r="R192" i="50"/>
  <c r="S192" i="50"/>
  <c r="Q192" i="50"/>
  <c r="D146" i="54"/>
  <c r="C132" i="54"/>
  <c r="D147" i="54"/>
  <c r="G26" i="36"/>
  <c r="G28" i="36"/>
  <c r="G8" i="39"/>
  <c r="I147" i="11"/>
  <c r="J147" i="11"/>
  <c r="K147" i="11"/>
  <c r="J154" i="11"/>
  <c r="K154" i="11"/>
  <c r="I154" i="11"/>
  <c r="J145" i="11"/>
  <c r="K145" i="11"/>
  <c r="K156" i="11"/>
  <c r="I145" i="11"/>
  <c r="K155" i="11"/>
  <c r="I186" i="38"/>
  <c r="G186" i="38"/>
  <c r="D181" i="38"/>
  <c r="L187" i="38"/>
  <c r="H186" i="38"/>
  <c r="D13" i="36"/>
  <c r="C38" i="50"/>
  <c r="D49" i="35"/>
  <c r="L46" i="35"/>
  <c r="Q190" i="50"/>
  <c r="N190" i="50"/>
  <c r="O190" i="50"/>
  <c r="R190" i="50"/>
  <c r="S190" i="50"/>
  <c r="Q191" i="50"/>
  <c r="N191" i="50"/>
  <c r="O191" i="50"/>
  <c r="R191" i="50"/>
  <c r="S191" i="50"/>
  <c r="Q198" i="50"/>
  <c r="N198" i="50"/>
  <c r="O198" i="50"/>
  <c r="R198" i="50"/>
  <c r="S198" i="50"/>
  <c r="Q195" i="50"/>
  <c r="N195" i="50"/>
  <c r="O195" i="50"/>
  <c r="R195" i="50"/>
  <c r="S195" i="50"/>
  <c r="I139" i="50"/>
  <c r="D68" i="2"/>
  <c r="G68" i="2"/>
  <c r="D4" i="57"/>
  <c r="G4" i="57"/>
  <c r="C25" i="87"/>
  <c r="C27" i="87"/>
  <c r="D26" i="36"/>
  <c r="D28" i="36"/>
  <c r="D8" i="39"/>
  <c r="I8" i="39"/>
  <c r="J8" i="39"/>
  <c r="K8" i="39"/>
  <c r="G12" i="2"/>
  <c r="C17" i="86"/>
  <c r="D160" i="11"/>
  <c r="H142" i="11"/>
  <c r="D147" i="38"/>
  <c r="I152" i="11"/>
  <c r="J152" i="11"/>
  <c r="K152" i="11"/>
  <c r="I146" i="11"/>
  <c r="J146" i="11"/>
  <c r="K146" i="11"/>
  <c r="E7" i="56"/>
  <c r="E12" i="56"/>
  <c r="E44" i="86"/>
  <c r="G81" i="2"/>
  <c r="D198" i="11"/>
  <c r="D201" i="11"/>
  <c r="D202" i="11"/>
  <c r="D190" i="11"/>
  <c r="D189" i="11"/>
  <c r="D195" i="11"/>
  <c r="D188" i="11"/>
  <c r="D204" i="11"/>
  <c r="D185" i="11"/>
  <c r="D187" i="11"/>
  <c r="D184" i="11"/>
  <c r="D193" i="11"/>
  <c r="D183" i="11"/>
  <c r="D194" i="11"/>
  <c r="D192" i="11"/>
  <c r="D205" i="11"/>
  <c r="D191" i="11"/>
  <c r="D186" i="11"/>
  <c r="D196" i="11"/>
  <c r="D197" i="11"/>
  <c r="D203" i="11"/>
  <c r="N38" i="38"/>
  <c r="O31" i="38"/>
  <c r="N184" i="50"/>
  <c r="O184" i="50"/>
  <c r="R184" i="50"/>
  <c r="S184" i="50"/>
  <c r="I170" i="50"/>
  <c r="Q184" i="50"/>
  <c r="N196" i="50"/>
  <c r="O196" i="50"/>
  <c r="R196" i="50"/>
  <c r="S196" i="50"/>
  <c r="Q196" i="50"/>
  <c r="Q185" i="50"/>
  <c r="N185" i="50"/>
  <c r="O185" i="50"/>
  <c r="R185" i="50"/>
  <c r="S185" i="50"/>
  <c r="J150" i="11"/>
  <c r="K150" i="11"/>
  <c r="I150" i="11"/>
  <c r="H26" i="36"/>
  <c r="H28" i="36"/>
  <c r="H8" i="39"/>
  <c r="F26" i="36"/>
  <c r="F28" i="36"/>
  <c r="F8" i="39"/>
  <c r="C31" i="58"/>
  <c r="C36" i="58"/>
  <c r="N13" i="58"/>
  <c r="E156" i="11"/>
  <c r="E141" i="11"/>
  <c r="E158" i="11"/>
  <c r="I153" i="11"/>
  <c r="J153" i="11"/>
  <c r="K153" i="11"/>
  <c r="N197" i="50"/>
  <c r="O197" i="50"/>
  <c r="R197" i="50"/>
  <c r="S197" i="50"/>
  <c r="Q197" i="50"/>
  <c r="N189" i="50"/>
  <c r="O189" i="50"/>
  <c r="R189" i="50"/>
  <c r="S189" i="50"/>
  <c r="Q189" i="50"/>
  <c r="Q193" i="50"/>
  <c r="N193" i="50"/>
  <c r="O193" i="50"/>
  <c r="R193" i="50"/>
  <c r="S193" i="50"/>
  <c r="D96" i="2"/>
  <c r="G96" i="2"/>
  <c r="F7" i="56"/>
  <c r="F12" i="56"/>
  <c r="F44" i="86"/>
  <c r="G109" i="2"/>
  <c r="E26" i="36"/>
  <c r="E28" i="36"/>
  <c r="E8" i="39"/>
  <c r="D124" i="2"/>
  <c r="G124" i="2"/>
  <c r="O29" i="38"/>
  <c r="P28" i="38"/>
  <c r="P30" i="38"/>
  <c r="H17" i="36"/>
  <c r="H16" i="87"/>
  <c r="E23" i="36"/>
  <c r="E22" i="87"/>
  <c r="E10" i="39"/>
  <c r="C23" i="57"/>
  <c r="G23" i="57"/>
  <c r="C16" i="57"/>
  <c r="G16" i="57"/>
  <c r="C24" i="57"/>
  <c r="G24" i="57"/>
  <c r="C22" i="57"/>
  <c r="G22" i="57"/>
  <c r="D10" i="39"/>
  <c r="I10" i="39"/>
  <c r="J10" i="39"/>
  <c r="K10" i="39"/>
  <c r="D59" i="35"/>
  <c r="L52" i="35"/>
  <c r="L59" i="35"/>
  <c r="E66" i="86"/>
  <c r="E45" i="86"/>
  <c r="C48" i="86"/>
  <c r="C55" i="86"/>
  <c r="C17" i="57"/>
  <c r="G17" i="57"/>
  <c r="C14" i="57"/>
  <c r="G14" i="57"/>
  <c r="D55" i="86"/>
  <c r="L48" i="86"/>
  <c r="L55" i="86"/>
  <c r="F68" i="35"/>
  <c r="C30" i="57"/>
  <c r="G30" i="57"/>
  <c r="F64" i="86"/>
  <c r="F66" i="86"/>
  <c r="F45" i="86"/>
  <c r="N42" i="86"/>
  <c r="C15" i="57"/>
  <c r="G15" i="57"/>
  <c r="F58" i="35"/>
  <c r="F22" i="87"/>
  <c r="F54" i="86"/>
  <c r="D70" i="35"/>
  <c r="D14" i="34"/>
  <c r="D16" i="34"/>
  <c r="D17" i="34"/>
  <c r="O30" i="38"/>
  <c r="O37" i="38"/>
  <c r="P37" i="38"/>
  <c r="C32" i="58"/>
  <c r="F48" i="35"/>
  <c r="F13" i="56"/>
  <c r="G108" i="2"/>
  <c r="G107" i="2"/>
  <c r="H188" i="11"/>
  <c r="H187" i="11"/>
  <c r="H190" i="11"/>
  <c r="E13" i="56"/>
  <c r="E48" i="35"/>
  <c r="G24" i="2"/>
  <c r="C21" i="35"/>
  <c r="G23" i="2"/>
  <c r="D5" i="57"/>
  <c r="H4" i="57"/>
  <c r="G21" i="57"/>
  <c r="D21" i="57"/>
  <c r="D50" i="35"/>
  <c r="L45" i="35"/>
  <c r="L44" i="35"/>
  <c r="L47" i="35"/>
  <c r="G13" i="57"/>
  <c r="K5" i="57"/>
  <c r="L5" i="57"/>
  <c r="D13" i="57"/>
  <c r="Q12" i="58"/>
  <c r="P12" i="58"/>
  <c r="H182" i="11"/>
  <c r="H183" i="11"/>
  <c r="H186" i="11"/>
  <c r="H189" i="11"/>
  <c r="D206" i="11"/>
  <c r="H201" i="11"/>
  <c r="E203" i="11"/>
  <c r="G80" i="2"/>
  <c r="G79" i="2"/>
  <c r="D7" i="66"/>
  <c r="D8" i="66"/>
  <c r="L35" i="50"/>
  <c r="I41" i="50"/>
  <c r="I42" i="50"/>
  <c r="I35" i="50"/>
  <c r="I36" i="50"/>
  <c r="D30" i="36"/>
  <c r="I173" i="50"/>
  <c r="H194" i="11"/>
  <c r="H191" i="11"/>
  <c r="H195" i="11"/>
  <c r="H193" i="11"/>
  <c r="H153" i="38"/>
  <c r="D148" i="38"/>
  <c r="G153" i="38"/>
  <c r="I153" i="38"/>
  <c r="O12" i="58"/>
  <c r="G136" i="2"/>
  <c r="G135" i="2"/>
  <c r="O38" i="38"/>
  <c r="P38" i="38"/>
  <c r="P31" i="38"/>
  <c r="D165" i="11"/>
  <c r="H160" i="11"/>
  <c r="E160" i="11"/>
  <c r="E165" i="11"/>
  <c r="K4" i="57"/>
  <c r="C9" i="86"/>
  <c r="C26" i="36"/>
  <c r="C28" i="36"/>
  <c r="F23" i="36"/>
  <c r="D27" i="36"/>
  <c r="D26" i="87"/>
  <c r="C59" i="35"/>
  <c r="C21" i="87"/>
  <c r="C23" i="87"/>
  <c r="C24" i="87"/>
  <c r="C28" i="87"/>
  <c r="L55" i="35"/>
  <c r="C28" i="57"/>
  <c r="G28" i="57"/>
  <c r="K7" i="57"/>
  <c r="L7" i="57"/>
  <c r="L58" i="35"/>
  <c r="H47" i="36"/>
  <c r="H46" i="87"/>
  <c r="L53" i="35"/>
  <c r="C29" i="57"/>
  <c r="G29" i="57"/>
  <c r="K6" i="57"/>
  <c r="L6" i="57"/>
  <c r="L57" i="35"/>
  <c r="F10" i="39"/>
  <c r="L54" i="35"/>
  <c r="C30" i="36"/>
  <c r="L56" i="35"/>
  <c r="E70" i="35"/>
  <c r="E14" i="34"/>
  <c r="E16" i="34"/>
  <c r="E17" i="34"/>
  <c r="D64" i="35"/>
  <c r="C64" i="35"/>
  <c r="D60" i="86"/>
  <c r="C60" i="86"/>
  <c r="C65" i="86"/>
  <c r="E48" i="86"/>
  <c r="F48" i="86"/>
  <c r="D65" i="35"/>
  <c r="C65" i="35"/>
  <c r="C10" i="34"/>
  <c r="D61" i="86"/>
  <c r="C61" i="86"/>
  <c r="E46" i="86"/>
  <c r="M41" i="86"/>
  <c r="M40" i="86"/>
  <c r="M43" i="86"/>
  <c r="G48" i="86"/>
  <c r="F46" i="86"/>
  <c r="N41" i="86"/>
  <c r="N40" i="86"/>
  <c r="N43" i="86"/>
  <c r="L49" i="86"/>
  <c r="L52" i="86"/>
  <c r="L51" i="86"/>
  <c r="L53" i="86"/>
  <c r="L50" i="86"/>
  <c r="L54" i="86"/>
  <c r="M42" i="86"/>
  <c r="E196" i="11"/>
  <c r="E184" i="11"/>
  <c r="E193" i="11"/>
  <c r="E198" i="11"/>
  <c r="E190" i="11"/>
  <c r="E188" i="11"/>
  <c r="E182" i="11"/>
  <c r="E199" i="11"/>
  <c r="E192" i="11"/>
  <c r="E185" i="11"/>
  <c r="E183" i="11"/>
  <c r="E189" i="11"/>
  <c r="E204" i="11"/>
  <c r="E205" i="11"/>
  <c r="H21" i="57"/>
  <c r="D22" i="57"/>
  <c r="H22" i="57"/>
  <c r="D23" i="57"/>
  <c r="H23" i="57"/>
  <c r="D24" i="57"/>
  <c r="H24" i="57"/>
  <c r="C50" i="58"/>
  <c r="C55" i="58"/>
  <c r="O13" i="58"/>
  <c r="C51" i="58"/>
  <c r="D178" i="38"/>
  <c r="I194" i="11"/>
  <c r="J194" i="11"/>
  <c r="K194" i="11"/>
  <c r="G5" i="62"/>
  <c r="E12" i="87"/>
  <c r="J189" i="11"/>
  <c r="K189" i="11"/>
  <c r="I189" i="11"/>
  <c r="D6" i="57"/>
  <c r="H5" i="57"/>
  <c r="E13" i="36"/>
  <c r="E9" i="66"/>
  <c r="C72" i="50"/>
  <c r="E49" i="35"/>
  <c r="M46" i="35"/>
  <c r="E187" i="11"/>
  <c r="I187" i="11"/>
  <c r="J187" i="11"/>
  <c r="K187" i="11"/>
  <c r="E197" i="11"/>
  <c r="E164" i="11"/>
  <c r="E162" i="11"/>
  <c r="E163" i="11"/>
  <c r="E161" i="11"/>
  <c r="J195" i="11"/>
  <c r="K195" i="11"/>
  <c r="I195" i="11"/>
  <c r="D45" i="87"/>
  <c r="D32" i="36"/>
  <c r="C70" i="38"/>
  <c r="T58" i="50"/>
  <c r="T54" i="50"/>
  <c r="T48" i="50"/>
  <c r="T56" i="50"/>
  <c r="T49" i="50"/>
  <c r="T60" i="50"/>
  <c r="T51" i="50"/>
  <c r="T52" i="50"/>
  <c r="T55" i="50"/>
  <c r="T57" i="50"/>
  <c r="T59" i="50"/>
  <c r="T53" i="50"/>
  <c r="T61" i="50"/>
  <c r="T62" i="50"/>
  <c r="T50" i="50"/>
  <c r="J186" i="11"/>
  <c r="K186" i="11"/>
  <c r="K197" i="11"/>
  <c r="I186" i="11"/>
  <c r="K196" i="11"/>
  <c r="P13" i="58"/>
  <c r="C69" i="58"/>
  <c r="C74" i="58"/>
  <c r="Q13" i="58"/>
  <c r="C88" i="58"/>
  <c r="C93" i="58"/>
  <c r="E194" i="11"/>
  <c r="I188" i="11"/>
  <c r="J188" i="11"/>
  <c r="K188" i="11"/>
  <c r="C8" i="39"/>
  <c r="C15" i="34"/>
  <c r="D15" i="34"/>
  <c r="E15" i="34"/>
  <c r="F15" i="34"/>
  <c r="G15" i="34"/>
  <c r="H15" i="34"/>
  <c r="C213" i="54"/>
  <c r="D213" i="54"/>
  <c r="C198" i="54"/>
  <c r="H202" i="2"/>
  <c r="D153" i="2"/>
  <c r="G153" i="2"/>
  <c r="D14" i="57"/>
  <c r="H13" i="57"/>
  <c r="E202" i="11"/>
  <c r="J190" i="11"/>
  <c r="K190" i="11"/>
  <c r="I190" i="11"/>
  <c r="F13" i="36"/>
  <c r="C106" i="50"/>
  <c r="F49" i="35"/>
  <c r="N46" i="35"/>
  <c r="G202" i="2"/>
  <c r="D125" i="2"/>
  <c r="G125" i="2"/>
  <c r="C180" i="54"/>
  <c r="D180" i="54"/>
  <c r="C165" i="54"/>
  <c r="C13" i="35"/>
  <c r="L4" i="57"/>
  <c r="I5" i="62"/>
  <c r="J193" i="11"/>
  <c r="K193" i="11"/>
  <c r="I193" i="11"/>
  <c r="J191" i="11"/>
  <c r="K191" i="11"/>
  <c r="I191" i="11"/>
  <c r="I43" i="50"/>
  <c r="I44" i="50"/>
  <c r="E201" i="11"/>
  <c r="E206" i="11"/>
  <c r="E191" i="11"/>
  <c r="E195" i="11"/>
  <c r="E186" i="11"/>
  <c r="H5" i="62"/>
  <c r="F12" i="87"/>
  <c r="D28" i="57"/>
  <c r="H28" i="57"/>
  <c r="D29" i="57"/>
  <c r="H29" i="57"/>
  <c r="D30" i="57"/>
  <c r="H30" i="57"/>
  <c r="F27" i="36"/>
  <c r="F26" i="87"/>
  <c r="G22" i="36"/>
  <c r="G24" i="36"/>
  <c r="G25" i="36"/>
  <c r="G29" i="36"/>
  <c r="G30" i="36"/>
  <c r="C29" i="87"/>
  <c r="C30" i="87"/>
  <c r="C27" i="36"/>
  <c r="C26" i="87"/>
  <c r="G59" i="35"/>
  <c r="O56" i="35"/>
  <c r="E59" i="35"/>
  <c r="M57" i="35"/>
  <c r="E27" i="36"/>
  <c r="E26" i="87"/>
  <c r="F59" i="35"/>
  <c r="N54" i="35"/>
  <c r="F22" i="36"/>
  <c r="F24" i="36"/>
  <c r="F25" i="36"/>
  <c r="F29" i="36"/>
  <c r="F31" i="36"/>
  <c r="D9" i="66"/>
  <c r="D10" i="66"/>
  <c r="D11" i="66"/>
  <c r="D13" i="66"/>
  <c r="F70" i="35"/>
  <c r="F14" i="34"/>
  <c r="F16" i="34"/>
  <c r="F17" i="34"/>
  <c r="D9" i="34"/>
  <c r="E22" i="36"/>
  <c r="E24" i="36"/>
  <c r="E25" i="36"/>
  <c r="E29" i="36"/>
  <c r="E31" i="36"/>
  <c r="D10" i="34"/>
  <c r="D35" i="34"/>
  <c r="H58" i="35"/>
  <c r="H54" i="86"/>
  <c r="E55" i="86"/>
  <c r="G58" i="35"/>
  <c r="G54" i="86"/>
  <c r="H64" i="86"/>
  <c r="G64" i="86"/>
  <c r="G66" i="86"/>
  <c r="F55" i="86"/>
  <c r="N48" i="86"/>
  <c r="N55" i="86"/>
  <c r="G55" i="86"/>
  <c r="O48" i="86"/>
  <c r="O55" i="86"/>
  <c r="C70" i="58"/>
  <c r="C89" i="58"/>
  <c r="P51" i="50"/>
  <c r="P57" i="50"/>
  <c r="P49" i="50"/>
  <c r="P48" i="50"/>
  <c r="P61" i="50"/>
  <c r="P60" i="50"/>
  <c r="P58" i="50"/>
  <c r="P53" i="50"/>
  <c r="P52" i="50"/>
  <c r="P55" i="50"/>
  <c r="F35" i="50"/>
  <c r="P50" i="50"/>
  <c r="P56" i="50"/>
  <c r="P59" i="50"/>
  <c r="P62" i="50"/>
  <c r="P54" i="50"/>
  <c r="E26" i="25"/>
  <c r="I26" i="50"/>
  <c r="M26" i="50"/>
  <c r="U61" i="50"/>
  <c r="F26" i="25"/>
  <c r="J26" i="25"/>
  <c r="E20" i="25"/>
  <c r="H20" i="25"/>
  <c r="I20" i="25"/>
  <c r="U55" i="50"/>
  <c r="F20" i="25"/>
  <c r="E14" i="25"/>
  <c r="H14" i="25"/>
  <c r="I14" i="25"/>
  <c r="U49" i="50"/>
  <c r="F14" i="25"/>
  <c r="E23" i="25"/>
  <c r="H23" i="25"/>
  <c r="I23" i="25"/>
  <c r="U58" i="50"/>
  <c r="F23" i="25"/>
  <c r="E50" i="35"/>
  <c r="M44" i="35"/>
  <c r="M47" i="35"/>
  <c r="M45" i="35"/>
  <c r="G7" i="56"/>
  <c r="G12" i="56"/>
  <c r="G44" i="86"/>
  <c r="G137" i="2"/>
  <c r="G68" i="35"/>
  <c r="H68" i="35"/>
  <c r="E18" i="25"/>
  <c r="H18" i="25"/>
  <c r="I18" i="25"/>
  <c r="U53" i="50"/>
  <c r="F18" i="25"/>
  <c r="E17" i="25"/>
  <c r="H17" i="25"/>
  <c r="I17" i="25"/>
  <c r="U52" i="50"/>
  <c r="F17" i="25"/>
  <c r="E21" i="25"/>
  <c r="H21" i="25"/>
  <c r="I21" i="25"/>
  <c r="U56" i="50"/>
  <c r="F21" i="25"/>
  <c r="L69" i="50"/>
  <c r="E7" i="66"/>
  <c r="E8" i="66"/>
  <c r="E10" i="66"/>
  <c r="E11" i="66"/>
  <c r="E13" i="66"/>
  <c r="I76" i="50"/>
  <c r="I75" i="50"/>
  <c r="I69" i="50"/>
  <c r="I70" i="50"/>
  <c r="D7" i="57"/>
  <c r="H6" i="57"/>
  <c r="N53" i="35"/>
  <c r="N56" i="35"/>
  <c r="N58" i="35"/>
  <c r="F50" i="35"/>
  <c r="N44" i="35"/>
  <c r="N47" i="35"/>
  <c r="N45" i="35"/>
  <c r="H14" i="57"/>
  <c r="D15" i="57"/>
  <c r="C9" i="34"/>
  <c r="C11" i="34"/>
  <c r="C69" i="35"/>
  <c r="E15" i="25"/>
  <c r="H15" i="25"/>
  <c r="I15" i="25"/>
  <c r="U50" i="50"/>
  <c r="F15" i="25"/>
  <c r="E24" i="25"/>
  <c r="H24" i="25"/>
  <c r="I24" i="25"/>
  <c r="U59" i="50"/>
  <c r="F24" i="25"/>
  <c r="E16" i="25"/>
  <c r="I16" i="50"/>
  <c r="M16" i="50"/>
  <c r="U51" i="50"/>
  <c r="F16" i="25"/>
  <c r="J16" i="25"/>
  <c r="E13" i="25"/>
  <c r="H13" i="25"/>
  <c r="I13" i="25"/>
  <c r="U48" i="50"/>
  <c r="F13" i="25"/>
  <c r="D46" i="36"/>
  <c r="D38" i="36"/>
  <c r="D41" i="36"/>
  <c r="L103" i="50"/>
  <c r="F7" i="66"/>
  <c r="F8" i="66"/>
  <c r="I110" i="50"/>
  <c r="I109" i="50"/>
  <c r="I103" i="50"/>
  <c r="I104" i="50"/>
  <c r="H7" i="56"/>
  <c r="H12" i="56"/>
  <c r="H44" i="86"/>
  <c r="G165" i="2"/>
  <c r="E27" i="25"/>
  <c r="U62" i="50"/>
  <c r="F27" i="25"/>
  <c r="E22" i="25"/>
  <c r="H22" i="25"/>
  <c r="I22" i="25"/>
  <c r="U57" i="50"/>
  <c r="F22" i="25"/>
  <c r="E25" i="25"/>
  <c r="H25" i="25"/>
  <c r="I25" i="25"/>
  <c r="U60" i="50"/>
  <c r="F25" i="25"/>
  <c r="E19" i="25"/>
  <c r="H19" i="25"/>
  <c r="I19" i="25"/>
  <c r="U54" i="50"/>
  <c r="F19" i="25"/>
  <c r="N52" i="35"/>
  <c r="N59" i="35"/>
  <c r="D152" i="2"/>
  <c r="G152" i="2"/>
  <c r="C32" i="36"/>
  <c r="M55" i="35"/>
  <c r="M58" i="35"/>
  <c r="M56" i="35"/>
  <c r="O57" i="35"/>
  <c r="O53" i="35"/>
  <c r="O52" i="35"/>
  <c r="O59" i="35"/>
  <c r="O55" i="35"/>
  <c r="O54" i="35"/>
  <c r="E30" i="36"/>
  <c r="M52" i="35"/>
  <c r="M59" i="35"/>
  <c r="N57" i="35"/>
  <c r="N55" i="35"/>
  <c r="M54" i="35"/>
  <c r="M53" i="35"/>
  <c r="F30" i="36"/>
  <c r="G31" i="36"/>
  <c r="G33" i="36"/>
  <c r="G45" i="87"/>
  <c r="G23" i="36"/>
  <c r="G22" i="87"/>
  <c r="C31" i="87"/>
  <c r="C32" i="87"/>
  <c r="C37" i="87"/>
  <c r="C40" i="87"/>
  <c r="H23" i="36"/>
  <c r="H22" i="87"/>
  <c r="F9" i="66"/>
  <c r="F10" i="66"/>
  <c r="F11" i="66"/>
  <c r="F13" i="66"/>
  <c r="O54" i="86"/>
  <c r="E65" i="35"/>
  <c r="E10" i="34"/>
  <c r="E35" i="34"/>
  <c r="E61" i="86"/>
  <c r="E64" i="35"/>
  <c r="E9" i="34"/>
  <c r="E60" i="86"/>
  <c r="O58" i="35"/>
  <c r="M49" i="86"/>
  <c r="M51" i="86"/>
  <c r="M52" i="86"/>
  <c r="M53" i="86"/>
  <c r="M50" i="86"/>
  <c r="M54" i="86"/>
  <c r="F65" i="35"/>
  <c r="F10" i="34"/>
  <c r="F35" i="34"/>
  <c r="F61" i="86"/>
  <c r="F64" i="35"/>
  <c r="F9" i="34"/>
  <c r="F60" i="86"/>
  <c r="N49" i="86"/>
  <c r="N51" i="86"/>
  <c r="N53" i="86"/>
  <c r="N52" i="86"/>
  <c r="N50" i="86"/>
  <c r="N54" i="86"/>
  <c r="H45" i="86"/>
  <c r="O49" i="86"/>
  <c r="O51" i="86"/>
  <c r="O53" i="86"/>
  <c r="O52" i="86"/>
  <c r="O50" i="86"/>
  <c r="H66" i="86"/>
  <c r="M48" i="86"/>
  <c r="M55" i="86"/>
  <c r="G45" i="86"/>
  <c r="O42" i="86"/>
  <c r="I77" i="50"/>
  <c r="I78" i="50"/>
  <c r="P95" i="50"/>
  <c r="F32" i="36"/>
  <c r="F33" i="36"/>
  <c r="F45" i="87"/>
  <c r="C38" i="87"/>
  <c r="C38" i="36"/>
  <c r="C41" i="36"/>
  <c r="C25" i="34"/>
  <c r="D25" i="34"/>
  <c r="D8" i="57"/>
  <c r="H7" i="57"/>
  <c r="J21" i="25"/>
  <c r="I21" i="50"/>
  <c r="M21" i="50"/>
  <c r="J18" i="25"/>
  <c r="I18" i="50"/>
  <c r="M18" i="50"/>
  <c r="G13" i="56"/>
  <c r="G48" i="35"/>
  <c r="G12" i="87"/>
  <c r="I14" i="50"/>
  <c r="M14" i="50"/>
  <c r="J14" i="25"/>
  <c r="E95" i="50"/>
  <c r="E163" i="50"/>
  <c r="E61" i="50"/>
  <c r="E197" i="50"/>
  <c r="E129" i="50"/>
  <c r="G164" i="2"/>
  <c r="G163" i="2"/>
  <c r="J25" i="25"/>
  <c r="I25" i="50"/>
  <c r="M25" i="50"/>
  <c r="G27" i="25"/>
  <c r="H27" i="25"/>
  <c r="I27" i="25"/>
  <c r="C135" i="38"/>
  <c r="T128" i="50"/>
  <c r="T120" i="50"/>
  <c r="T125" i="50"/>
  <c r="T122" i="50"/>
  <c r="T123" i="50"/>
  <c r="T130" i="50"/>
  <c r="T121" i="50"/>
  <c r="T116" i="50"/>
  <c r="T118" i="50"/>
  <c r="T124" i="50"/>
  <c r="T127" i="50"/>
  <c r="T129" i="50"/>
  <c r="T119" i="50"/>
  <c r="T117" i="50"/>
  <c r="T126" i="50"/>
  <c r="I13" i="50"/>
  <c r="M13" i="50"/>
  <c r="J13" i="25"/>
  <c r="C10" i="25"/>
  <c r="J24" i="25"/>
  <c r="I24" i="50"/>
  <c r="M24" i="50"/>
  <c r="C30" i="34"/>
  <c r="C17" i="34"/>
  <c r="D41" i="34"/>
  <c r="C39" i="57"/>
  <c r="D39" i="57"/>
  <c r="H10" i="39"/>
  <c r="F36" i="50"/>
  <c r="P53" i="38"/>
  <c r="P118" i="38"/>
  <c r="R12" i="58"/>
  <c r="D16" i="57"/>
  <c r="H15" i="57"/>
  <c r="C102" i="38"/>
  <c r="T96" i="50"/>
  <c r="T91" i="50"/>
  <c r="T82" i="50"/>
  <c r="T86" i="50"/>
  <c r="T89" i="50"/>
  <c r="T93" i="50"/>
  <c r="T94" i="50"/>
  <c r="T84" i="50"/>
  <c r="T95" i="50"/>
  <c r="T88" i="50"/>
  <c r="T92" i="50"/>
  <c r="T90" i="50"/>
  <c r="T83" i="50"/>
  <c r="T87" i="50"/>
  <c r="T85" i="50"/>
  <c r="J17" i="25"/>
  <c r="I17" i="50"/>
  <c r="M17" i="50"/>
  <c r="G10" i="39"/>
  <c r="C34" i="57"/>
  <c r="G70" i="35"/>
  <c r="G14" i="34"/>
  <c r="G16" i="34"/>
  <c r="G17" i="34"/>
  <c r="C35" i="57"/>
  <c r="G35" i="57"/>
  <c r="J23" i="25"/>
  <c r="I23" i="50"/>
  <c r="M23" i="50"/>
  <c r="I20" i="50"/>
  <c r="M20" i="50"/>
  <c r="J20" i="25"/>
  <c r="I19" i="50"/>
  <c r="M19" i="50"/>
  <c r="J19" i="25"/>
  <c r="J22" i="25"/>
  <c r="I22" i="50"/>
  <c r="M22" i="50"/>
  <c r="H13" i="56"/>
  <c r="H48" i="35"/>
  <c r="I111" i="50"/>
  <c r="I112" i="50"/>
  <c r="D42" i="34"/>
  <c r="D38" i="87"/>
  <c r="E187" i="50"/>
  <c r="E51" i="50"/>
  <c r="E153" i="50"/>
  <c r="E119" i="50"/>
  <c r="E85" i="50"/>
  <c r="J15" i="25"/>
  <c r="I15" i="50"/>
  <c r="M15" i="50"/>
  <c r="E33" i="36"/>
  <c r="E45" i="87"/>
  <c r="E32" i="36"/>
  <c r="C39" i="87"/>
  <c r="G32" i="36"/>
  <c r="H46" i="86"/>
  <c r="P41" i="86"/>
  <c r="P40" i="86"/>
  <c r="P43" i="86"/>
  <c r="P42" i="86"/>
  <c r="G46" i="86"/>
  <c r="O40" i="86"/>
  <c r="O43" i="86"/>
  <c r="O41" i="86"/>
  <c r="H48" i="86"/>
  <c r="P91" i="50"/>
  <c r="P92" i="50"/>
  <c r="P96" i="50"/>
  <c r="P93" i="50"/>
  <c r="P86" i="50"/>
  <c r="P82" i="50"/>
  <c r="P94" i="50"/>
  <c r="P84" i="50"/>
  <c r="P90" i="50"/>
  <c r="P83" i="50"/>
  <c r="P88" i="50"/>
  <c r="P89" i="50"/>
  <c r="D6" i="39"/>
  <c r="P87" i="50"/>
  <c r="P85" i="50"/>
  <c r="F69" i="50"/>
  <c r="F70" i="50"/>
  <c r="H13" i="36"/>
  <c r="H9" i="66"/>
  <c r="C174" i="50"/>
  <c r="H49" i="35"/>
  <c r="E160" i="50"/>
  <c r="E58" i="50"/>
  <c r="E126" i="50"/>
  <c r="E92" i="50"/>
  <c r="E194" i="50"/>
  <c r="D34" i="57"/>
  <c r="G34" i="57"/>
  <c r="K8" i="57"/>
  <c r="L8" i="57"/>
  <c r="E39" i="25"/>
  <c r="U85" i="50"/>
  <c r="F39" i="25"/>
  <c r="J39" i="25"/>
  <c r="E46" i="25"/>
  <c r="H46" i="25"/>
  <c r="I46" i="25"/>
  <c r="U92" i="50"/>
  <c r="F46" i="25"/>
  <c r="E48" i="25"/>
  <c r="H48" i="25"/>
  <c r="I48" i="25"/>
  <c r="U94" i="50"/>
  <c r="F48" i="25"/>
  <c r="E36" i="25"/>
  <c r="H36" i="25"/>
  <c r="I36" i="25"/>
  <c r="U82" i="50"/>
  <c r="F36" i="25"/>
  <c r="G118" i="38"/>
  <c r="I118" i="38"/>
  <c r="I124" i="38"/>
  <c r="K118" i="38"/>
  <c r="M118" i="38"/>
  <c r="H118" i="38"/>
  <c r="H124" i="38"/>
  <c r="N118" i="38"/>
  <c r="D118" i="38"/>
  <c r="E118" i="38"/>
  <c r="L118" i="38"/>
  <c r="J118" i="38"/>
  <c r="F118" i="38"/>
  <c r="O118" i="38"/>
  <c r="C136" i="38"/>
  <c r="D136" i="38"/>
  <c r="P136" i="38"/>
  <c r="C131" i="38"/>
  <c r="H70" i="35"/>
  <c r="H14" i="34"/>
  <c r="H16" i="34"/>
  <c r="H17" i="34"/>
  <c r="E195" i="50"/>
  <c r="E59" i="50"/>
  <c r="E161" i="50"/>
  <c r="E93" i="50"/>
  <c r="E127" i="50"/>
  <c r="E60" i="25"/>
  <c r="H60" i="25"/>
  <c r="I60" i="25"/>
  <c r="U117" i="50"/>
  <c r="F60" i="25"/>
  <c r="E67" i="25"/>
  <c r="H67" i="25"/>
  <c r="I67" i="25"/>
  <c r="U124" i="50"/>
  <c r="F67" i="25"/>
  <c r="E73" i="25"/>
  <c r="U130" i="50"/>
  <c r="F73" i="25"/>
  <c r="E63" i="25"/>
  <c r="H63" i="25"/>
  <c r="I63" i="25"/>
  <c r="U120" i="50"/>
  <c r="F63" i="25"/>
  <c r="J5" i="62"/>
  <c r="H12" i="87"/>
  <c r="G13" i="36"/>
  <c r="G9" i="66"/>
  <c r="C140" i="50"/>
  <c r="G49" i="35"/>
  <c r="O46" i="35"/>
  <c r="E124" i="50"/>
  <c r="E90" i="50"/>
  <c r="E56" i="50"/>
  <c r="E192" i="50"/>
  <c r="E158" i="50"/>
  <c r="E156" i="50"/>
  <c r="E88" i="50"/>
  <c r="E54" i="50"/>
  <c r="E190" i="50"/>
  <c r="E122" i="50"/>
  <c r="E41" i="25"/>
  <c r="H41" i="25"/>
  <c r="I41" i="25"/>
  <c r="U87" i="50"/>
  <c r="F41" i="25"/>
  <c r="E42" i="25"/>
  <c r="H42" i="25"/>
  <c r="I42" i="25"/>
  <c r="U88" i="50"/>
  <c r="F42" i="25"/>
  <c r="E47" i="25"/>
  <c r="H47" i="25"/>
  <c r="I47" i="25"/>
  <c r="U93" i="50"/>
  <c r="F47" i="25"/>
  <c r="E45" i="25"/>
  <c r="H45" i="25"/>
  <c r="I45" i="25"/>
  <c r="U91" i="50"/>
  <c r="F45" i="25"/>
  <c r="H16" i="57"/>
  <c r="D17" i="57"/>
  <c r="H17" i="57"/>
  <c r="L53" i="38"/>
  <c r="L59" i="38"/>
  <c r="H53" i="38"/>
  <c r="M53" i="38"/>
  <c r="G53" i="38"/>
  <c r="F53" i="38"/>
  <c r="E53" i="38"/>
  <c r="D53" i="38"/>
  <c r="K53" i="38"/>
  <c r="K59" i="38"/>
  <c r="I53" i="38"/>
  <c r="O53" i="38"/>
  <c r="N53" i="38"/>
  <c r="J53" i="38"/>
  <c r="J59" i="38"/>
  <c r="C71" i="38"/>
  <c r="D71" i="38"/>
  <c r="P71" i="38"/>
  <c r="C66" i="38"/>
  <c r="G39" i="57"/>
  <c r="H39" i="57"/>
  <c r="E62" i="25"/>
  <c r="U119" i="50"/>
  <c r="F62" i="25"/>
  <c r="J62" i="25"/>
  <c r="E61" i="25"/>
  <c r="H61" i="25"/>
  <c r="I61" i="25"/>
  <c r="U118" i="50"/>
  <c r="F61" i="25"/>
  <c r="E66" i="25"/>
  <c r="H66" i="25"/>
  <c r="I66" i="25"/>
  <c r="U123" i="50"/>
  <c r="F66" i="25"/>
  <c r="E71" i="25"/>
  <c r="H71" i="25"/>
  <c r="I71" i="25"/>
  <c r="U128" i="50"/>
  <c r="F71" i="25"/>
  <c r="E162" i="50"/>
  <c r="E196" i="50"/>
  <c r="E128" i="50"/>
  <c r="E94" i="50"/>
  <c r="E60" i="50"/>
  <c r="C17" i="39"/>
  <c r="C16" i="39"/>
  <c r="J20" i="39"/>
  <c r="C24" i="34"/>
  <c r="D21" i="39"/>
  <c r="F21" i="39"/>
  <c r="C37" i="39"/>
  <c r="G21" i="39"/>
  <c r="C39" i="36"/>
  <c r="C40" i="36"/>
  <c r="H21" i="39"/>
  <c r="C21" i="39"/>
  <c r="C29" i="39"/>
  <c r="E21" i="39"/>
  <c r="I21" i="39"/>
  <c r="E35" i="36"/>
  <c r="E38" i="36"/>
  <c r="E41" i="36"/>
  <c r="E25" i="34"/>
  <c r="E46" i="36"/>
  <c r="E7" i="39"/>
  <c r="E91" i="50"/>
  <c r="E125" i="50"/>
  <c r="E193" i="50"/>
  <c r="E57" i="50"/>
  <c r="E159" i="50"/>
  <c r="E52" i="50"/>
  <c r="E188" i="50"/>
  <c r="E86" i="50"/>
  <c r="E154" i="50"/>
  <c r="E120" i="50"/>
  <c r="E37" i="25"/>
  <c r="H37" i="25"/>
  <c r="I37" i="25"/>
  <c r="U83" i="50"/>
  <c r="F37" i="25"/>
  <c r="E49" i="25"/>
  <c r="U95" i="50"/>
  <c r="F49" i="25"/>
  <c r="J49" i="25"/>
  <c r="E43" i="25"/>
  <c r="H43" i="25"/>
  <c r="I43" i="25"/>
  <c r="U89" i="50"/>
  <c r="F43" i="25"/>
  <c r="E50" i="25"/>
  <c r="U96" i="50"/>
  <c r="F50" i="25"/>
  <c r="G35" i="36"/>
  <c r="G7" i="39"/>
  <c r="G38" i="36"/>
  <c r="G41" i="36"/>
  <c r="G46" i="36"/>
  <c r="E72" i="25"/>
  <c r="U129" i="50"/>
  <c r="F72" i="25"/>
  <c r="J72" i="25"/>
  <c r="E59" i="25"/>
  <c r="H59" i="25"/>
  <c r="I59" i="25"/>
  <c r="U116" i="50"/>
  <c r="F59" i="25"/>
  <c r="E65" i="25"/>
  <c r="H65" i="25"/>
  <c r="I65" i="25"/>
  <c r="U122" i="50"/>
  <c r="F65" i="25"/>
  <c r="E155" i="50"/>
  <c r="E189" i="50"/>
  <c r="E87" i="50"/>
  <c r="E121" i="50"/>
  <c r="E53" i="50"/>
  <c r="F38" i="36"/>
  <c r="F41" i="36"/>
  <c r="F46" i="36"/>
  <c r="F35" i="36"/>
  <c r="F7" i="39"/>
  <c r="E152" i="50"/>
  <c r="E84" i="50"/>
  <c r="E186" i="50"/>
  <c r="E50" i="50"/>
  <c r="E118" i="50"/>
  <c r="D17" i="39"/>
  <c r="D39" i="36"/>
  <c r="D40" i="36"/>
  <c r="D12" i="39"/>
  <c r="P124" i="50"/>
  <c r="P128" i="50"/>
  <c r="F103" i="50"/>
  <c r="F104" i="50"/>
  <c r="P126" i="50"/>
  <c r="P122" i="50"/>
  <c r="P125" i="50"/>
  <c r="P119" i="50"/>
  <c r="P117" i="50"/>
  <c r="P118" i="50"/>
  <c r="P121" i="50"/>
  <c r="P116" i="50"/>
  <c r="P123" i="50"/>
  <c r="P129" i="50"/>
  <c r="P120" i="50"/>
  <c r="P127" i="50"/>
  <c r="P130" i="50"/>
  <c r="E123" i="50"/>
  <c r="E191" i="50"/>
  <c r="E89" i="50"/>
  <c r="E157" i="50"/>
  <c r="E55" i="50"/>
  <c r="E44" i="25"/>
  <c r="H44" i="25"/>
  <c r="I44" i="25"/>
  <c r="U90" i="50"/>
  <c r="F44" i="25"/>
  <c r="E38" i="25"/>
  <c r="H38" i="25"/>
  <c r="I38" i="25"/>
  <c r="U84" i="50"/>
  <c r="F38" i="25"/>
  <c r="E40" i="25"/>
  <c r="H40" i="25"/>
  <c r="I40" i="25"/>
  <c r="U86" i="50"/>
  <c r="F40" i="25"/>
  <c r="C107" i="58"/>
  <c r="C112" i="58"/>
  <c r="R13" i="58"/>
  <c r="C108" i="58"/>
  <c r="C9" i="39"/>
  <c r="D9" i="39"/>
  <c r="I9" i="39"/>
  <c r="J9" i="39"/>
  <c r="K9" i="39"/>
  <c r="M28" i="50"/>
  <c r="E150" i="50"/>
  <c r="E184" i="50"/>
  <c r="E48" i="50"/>
  <c r="E116" i="50"/>
  <c r="E82" i="50"/>
  <c r="E69" i="25"/>
  <c r="H69" i="25"/>
  <c r="I69" i="25"/>
  <c r="U126" i="50"/>
  <c r="F69" i="25"/>
  <c r="E70" i="25"/>
  <c r="H70" i="25"/>
  <c r="I70" i="25"/>
  <c r="U127" i="50"/>
  <c r="F70" i="25"/>
  <c r="E64" i="25"/>
  <c r="H64" i="25"/>
  <c r="I64" i="25"/>
  <c r="U121" i="50"/>
  <c r="F64" i="25"/>
  <c r="E68" i="25"/>
  <c r="H68" i="25"/>
  <c r="I68" i="25"/>
  <c r="U125" i="50"/>
  <c r="F68" i="25"/>
  <c r="I27" i="50"/>
  <c r="M27" i="50"/>
  <c r="J27" i="25"/>
  <c r="E117" i="50"/>
  <c r="E151" i="50"/>
  <c r="E185" i="50"/>
  <c r="E83" i="50"/>
  <c r="E49" i="50"/>
  <c r="H8" i="57"/>
  <c r="D9" i="57"/>
  <c r="H9" i="57"/>
  <c r="G27" i="36"/>
  <c r="G26" i="87"/>
  <c r="H22" i="36"/>
  <c r="H24" i="36"/>
  <c r="H25" i="36"/>
  <c r="H29" i="36"/>
  <c r="H59" i="35"/>
  <c r="P52" i="35"/>
  <c r="P59" i="35"/>
  <c r="D24" i="34"/>
  <c r="D4" i="63"/>
  <c r="C74" i="86"/>
  <c r="H55" i="86"/>
  <c r="K9" i="57"/>
  <c r="L9" i="57"/>
  <c r="J59" i="25"/>
  <c r="C56" i="25"/>
  <c r="J43" i="25"/>
  <c r="J37" i="25"/>
  <c r="J66" i="25"/>
  <c r="J68" i="25"/>
  <c r="J70" i="25"/>
  <c r="F25" i="34"/>
  <c r="G25" i="34"/>
  <c r="P85" i="38"/>
  <c r="L85" i="38"/>
  <c r="J64" i="25"/>
  <c r="J69" i="25"/>
  <c r="J40" i="25"/>
  <c r="J44" i="25"/>
  <c r="J47" i="25"/>
  <c r="J45" i="25"/>
  <c r="J42" i="25"/>
  <c r="AG4" i="74"/>
  <c r="A4" i="74"/>
  <c r="I8" i="62"/>
  <c r="G23" i="87"/>
  <c r="G24" i="87"/>
  <c r="G28" i="87"/>
  <c r="G8" i="62"/>
  <c r="E23" i="87"/>
  <c r="E24" i="87"/>
  <c r="E28" i="87"/>
  <c r="J8" i="62"/>
  <c r="H23" i="87"/>
  <c r="H24" i="87"/>
  <c r="H28" i="87"/>
  <c r="F8" i="62"/>
  <c r="D23" i="87"/>
  <c r="D24" i="87"/>
  <c r="D28" i="87"/>
  <c r="G3" i="50"/>
  <c r="H8" i="62"/>
  <c r="F23" i="87"/>
  <c r="F24" i="87"/>
  <c r="F28" i="87"/>
  <c r="J38" i="25"/>
  <c r="J65" i="25"/>
  <c r="E6" i="39"/>
  <c r="E41" i="34"/>
  <c r="E11" i="39"/>
  <c r="E38" i="87"/>
  <c r="E42" i="34"/>
  <c r="J21" i="39"/>
  <c r="K20" i="39"/>
  <c r="K21" i="39"/>
  <c r="C67" i="38"/>
  <c r="C69" i="38"/>
  <c r="C33" i="38"/>
  <c r="C68" i="38"/>
  <c r="J66" i="38"/>
  <c r="J73" i="38"/>
  <c r="K66" i="38"/>
  <c r="K73" i="38"/>
  <c r="L66" i="38"/>
  <c r="L73" i="38"/>
  <c r="O55" i="38"/>
  <c r="O66" i="38"/>
  <c r="O73" i="38"/>
  <c r="E55" i="38"/>
  <c r="E66" i="38"/>
  <c r="E73" i="38"/>
  <c r="H55" i="38"/>
  <c r="H66" i="38"/>
  <c r="H73" i="38"/>
  <c r="G7" i="66"/>
  <c r="G8" i="66"/>
  <c r="G10" i="66"/>
  <c r="G11" i="66"/>
  <c r="G13" i="66"/>
  <c r="L137" i="50"/>
  <c r="I143" i="50"/>
  <c r="I144" i="50"/>
  <c r="I138" i="50"/>
  <c r="I137" i="50"/>
  <c r="G73" i="25"/>
  <c r="H73" i="25"/>
  <c r="I73" i="25"/>
  <c r="J73" i="25"/>
  <c r="J60" i="25"/>
  <c r="L120" i="38"/>
  <c r="L131" i="38"/>
  <c r="L138" i="38"/>
  <c r="G120" i="38"/>
  <c r="G131" i="38"/>
  <c r="G138" i="38"/>
  <c r="J48" i="25"/>
  <c r="H50" i="35"/>
  <c r="P44" i="35"/>
  <c r="P47" i="35"/>
  <c r="P45" i="35"/>
  <c r="I55" i="38"/>
  <c r="I66" i="38"/>
  <c r="I73" i="38"/>
  <c r="F55" i="38"/>
  <c r="F66" i="38"/>
  <c r="F73" i="38"/>
  <c r="O120" i="38"/>
  <c r="O131" i="38"/>
  <c r="O138" i="38"/>
  <c r="E120" i="38"/>
  <c r="E131" i="38"/>
  <c r="E138" i="38"/>
  <c r="M120" i="38"/>
  <c r="M131" i="38"/>
  <c r="M138" i="38"/>
  <c r="I177" i="50"/>
  <c r="H7" i="66"/>
  <c r="H8" i="66"/>
  <c r="H10" i="66"/>
  <c r="H11" i="66"/>
  <c r="H13" i="66"/>
  <c r="L171" i="50"/>
  <c r="I178" i="50"/>
  <c r="I171" i="50"/>
  <c r="I172" i="50"/>
  <c r="E164" i="50"/>
  <c r="E130" i="50"/>
  <c r="E96" i="50"/>
  <c r="E198" i="50"/>
  <c r="E62" i="50"/>
  <c r="F6" i="39"/>
  <c r="F42" i="34"/>
  <c r="F41" i="34"/>
  <c r="F11" i="39"/>
  <c r="F38" i="87"/>
  <c r="P53" i="35"/>
  <c r="G50" i="25"/>
  <c r="H50" i="25"/>
  <c r="I50" i="25"/>
  <c r="J50" i="25"/>
  <c r="G55" i="38"/>
  <c r="G66" i="38"/>
  <c r="G73" i="38"/>
  <c r="J63" i="25"/>
  <c r="J67" i="25"/>
  <c r="F120" i="38"/>
  <c r="F131" i="38"/>
  <c r="F138" i="38"/>
  <c r="D120" i="38"/>
  <c r="D121" i="38"/>
  <c r="K120" i="38"/>
  <c r="K131" i="38"/>
  <c r="K138" i="38"/>
  <c r="J36" i="25"/>
  <c r="C33" i="25"/>
  <c r="J46" i="25"/>
  <c r="H34" i="57"/>
  <c r="D35" i="57"/>
  <c r="H35" i="57"/>
  <c r="P46" i="35"/>
  <c r="G42" i="34"/>
  <c r="G11" i="39"/>
  <c r="G38" i="87"/>
  <c r="G6" i="39"/>
  <c r="G41" i="34"/>
  <c r="C4" i="63"/>
  <c r="C78" i="35"/>
  <c r="C5" i="63"/>
  <c r="C26" i="34"/>
  <c r="C27" i="34"/>
  <c r="C28" i="34"/>
  <c r="J71" i="25"/>
  <c r="J61" i="25"/>
  <c r="N55" i="38"/>
  <c r="N66" i="38"/>
  <c r="N73" i="38"/>
  <c r="D55" i="38"/>
  <c r="D59" i="38"/>
  <c r="M55" i="38"/>
  <c r="M66" i="38"/>
  <c r="M73" i="38"/>
  <c r="J41" i="25"/>
  <c r="G50" i="35"/>
  <c r="O44" i="35"/>
  <c r="O47" i="35"/>
  <c r="O45" i="35"/>
  <c r="C134" i="38"/>
  <c r="C133" i="38"/>
  <c r="C132" i="38"/>
  <c r="I131" i="38"/>
  <c r="I138" i="38"/>
  <c r="H131" i="38"/>
  <c r="H138" i="38"/>
  <c r="J120" i="38"/>
  <c r="J131" i="38"/>
  <c r="J138" i="38"/>
  <c r="N120" i="38"/>
  <c r="N131" i="38"/>
  <c r="N138" i="38"/>
  <c r="F29" i="87"/>
  <c r="F30" i="87"/>
  <c r="E29" i="87"/>
  <c r="E30" i="87"/>
  <c r="G30" i="87"/>
  <c r="G29" i="87"/>
  <c r="D30" i="87"/>
  <c r="D29" i="87"/>
  <c r="C35" i="39"/>
  <c r="H27" i="36"/>
  <c r="H26" i="87"/>
  <c r="H30" i="87"/>
  <c r="H29" i="87"/>
  <c r="P56" i="35"/>
  <c r="D26" i="34"/>
  <c r="D27" i="34"/>
  <c r="D28" i="34"/>
  <c r="P54" i="35"/>
  <c r="P57" i="35"/>
  <c r="P58" i="35"/>
  <c r="P55" i="35"/>
  <c r="G64" i="35"/>
  <c r="G9" i="34"/>
  <c r="G60" i="86"/>
  <c r="P49" i="86"/>
  <c r="P51" i="86"/>
  <c r="P52" i="86"/>
  <c r="P53" i="86"/>
  <c r="P50" i="86"/>
  <c r="P54" i="86"/>
  <c r="H65" i="35"/>
  <c r="H10" i="34"/>
  <c r="H35" i="34"/>
  <c r="H61" i="86"/>
  <c r="G65" i="35"/>
  <c r="G10" i="34"/>
  <c r="G35" i="34"/>
  <c r="G61" i="86"/>
  <c r="P48" i="86"/>
  <c r="P55" i="86"/>
  <c r="H64" i="35"/>
  <c r="H9" i="34"/>
  <c r="H60" i="86"/>
  <c r="K85" i="38"/>
  <c r="K87" i="38"/>
  <c r="C98" i="38"/>
  <c r="H98" i="38"/>
  <c r="H105" i="38"/>
  <c r="J85" i="38"/>
  <c r="J87" i="38"/>
  <c r="O59" i="38"/>
  <c r="N59" i="38"/>
  <c r="N56" i="38"/>
  <c r="M85" i="38"/>
  <c r="M87" i="38"/>
  <c r="I59" i="38"/>
  <c r="J124" i="38"/>
  <c r="C103" i="38"/>
  <c r="D103" i="38"/>
  <c r="P103" i="38"/>
  <c r="F85" i="38"/>
  <c r="F87" i="38"/>
  <c r="I85" i="38"/>
  <c r="I91" i="38"/>
  <c r="G85" i="38"/>
  <c r="G91" i="38"/>
  <c r="E85" i="38"/>
  <c r="E87" i="38"/>
  <c r="D85" i="38"/>
  <c r="D87" i="38"/>
  <c r="G124" i="38"/>
  <c r="E59" i="38"/>
  <c r="H85" i="38"/>
  <c r="H91" i="38"/>
  <c r="N121" i="38"/>
  <c r="N132" i="38"/>
  <c r="N85" i="38"/>
  <c r="N87" i="38"/>
  <c r="O85" i="38"/>
  <c r="O87" i="38"/>
  <c r="N67" i="38"/>
  <c r="M56" i="38"/>
  <c r="M67" i="38"/>
  <c r="M121" i="38"/>
  <c r="M132" i="38"/>
  <c r="M59" i="38"/>
  <c r="H59" i="38"/>
  <c r="O56" i="38"/>
  <c r="O67" i="38"/>
  <c r="D62" i="38"/>
  <c r="P59" i="38"/>
  <c r="H30" i="36"/>
  <c r="H31" i="36"/>
  <c r="G17" i="39"/>
  <c r="G39" i="36"/>
  <c r="G40" i="36"/>
  <c r="G12" i="39"/>
  <c r="P120" i="38"/>
  <c r="D131" i="38"/>
  <c r="F39" i="36"/>
  <c r="F40" i="36"/>
  <c r="F12" i="39"/>
  <c r="F17" i="39"/>
  <c r="L87" i="38"/>
  <c r="O124" i="38"/>
  <c r="I33" i="38"/>
  <c r="I40" i="38"/>
  <c r="D33" i="38"/>
  <c r="C35" i="38"/>
  <c r="C34" i="38"/>
  <c r="H33" i="38"/>
  <c r="H40" i="38"/>
  <c r="L33" i="38"/>
  <c r="L40" i="38"/>
  <c r="M33" i="38"/>
  <c r="M40" i="38"/>
  <c r="F33" i="38"/>
  <c r="F40" i="38"/>
  <c r="E33" i="38"/>
  <c r="E40" i="38"/>
  <c r="C36" i="38"/>
  <c r="J33" i="38"/>
  <c r="J40" i="38"/>
  <c r="K33" i="38"/>
  <c r="K40" i="38"/>
  <c r="G33" i="38"/>
  <c r="G40" i="38"/>
  <c r="O33" i="38"/>
  <c r="O40" i="38"/>
  <c r="N33" i="38"/>
  <c r="N40" i="38"/>
  <c r="I132" i="38"/>
  <c r="J132" i="38"/>
  <c r="K132" i="38"/>
  <c r="H132" i="38"/>
  <c r="K124" i="38"/>
  <c r="F124" i="38"/>
  <c r="G59" i="38"/>
  <c r="I179" i="50"/>
  <c r="I180" i="50"/>
  <c r="F171" i="50"/>
  <c r="M124" i="38"/>
  <c r="E124" i="38"/>
  <c r="O121" i="38"/>
  <c r="O132" i="38"/>
  <c r="L121" i="38"/>
  <c r="L132" i="38"/>
  <c r="I145" i="50"/>
  <c r="I146" i="50"/>
  <c r="L69" i="38"/>
  <c r="K69" i="38"/>
  <c r="G69" i="38"/>
  <c r="E69" i="38"/>
  <c r="I69" i="38"/>
  <c r="F69" i="38"/>
  <c r="O69" i="38"/>
  <c r="N69" i="38"/>
  <c r="D69" i="38"/>
  <c r="P69" i="38"/>
  <c r="H69" i="38"/>
  <c r="M69" i="38"/>
  <c r="J69" i="38"/>
  <c r="G4" i="50"/>
  <c r="H3" i="50"/>
  <c r="H4" i="50"/>
  <c r="N124" i="38"/>
  <c r="J133" i="38"/>
  <c r="E133" i="38"/>
  <c r="K133" i="38"/>
  <c r="L133" i="38"/>
  <c r="N133" i="38"/>
  <c r="D133" i="38"/>
  <c r="P133" i="38"/>
  <c r="G133" i="38"/>
  <c r="M133" i="38"/>
  <c r="O133" i="38"/>
  <c r="I133" i="38"/>
  <c r="F133" i="38"/>
  <c r="H133" i="38"/>
  <c r="D124" i="38"/>
  <c r="F121" i="38"/>
  <c r="F132" i="38"/>
  <c r="C201" i="38"/>
  <c r="T184" i="50"/>
  <c r="T196" i="50"/>
  <c r="T186" i="50"/>
  <c r="T194" i="50"/>
  <c r="T192" i="50"/>
  <c r="T190" i="50"/>
  <c r="T198" i="50"/>
  <c r="T193" i="50"/>
  <c r="T187" i="50"/>
  <c r="T188" i="50"/>
  <c r="T191" i="50"/>
  <c r="T195" i="50"/>
  <c r="T185" i="50"/>
  <c r="T197" i="50"/>
  <c r="T189" i="50"/>
  <c r="E121" i="38"/>
  <c r="E132" i="38"/>
  <c r="F59" i="38"/>
  <c r="G121" i="38"/>
  <c r="G132" i="38"/>
  <c r="L124" i="38"/>
  <c r="E67" i="38"/>
  <c r="F67" i="38"/>
  <c r="J67" i="38"/>
  <c r="K67" i="38"/>
  <c r="D67" i="38"/>
  <c r="P67" i="38"/>
  <c r="H67" i="38"/>
  <c r="L67" i="38"/>
  <c r="G67" i="38"/>
  <c r="I67" i="38"/>
  <c r="F134" i="38"/>
  <c r="L134" i="38"/>
  <c r="E134" i="38"/>
  <c r="N134" i="38"/>
  <c r="G134" i="38"/>
  <c r="O134" i="38"/>
  <c r="H134" i="38"/>
  <c r="I134" i="38"/>
  <c r="J134" i="38"/>
  <c r="M134" i="38"/>
  <c r="D134" i="38"/>
  <c r="P134" i="38"/>
  <c r="K134" i="38"/>
  <c r="D66" i="38"/>
  <c r="P55" i="38"/>
  <c r="C9" i="63"/>
  <c r="C14" i="63"/>
  <c r="D5" i="63"/>
  <c r="D9" i="63"/>
  <c r="C36" i="39"/>
  <c r="P121" i="38"/>
  <c r="D132" i="38"/>
  <c r="P132" i="38"/>
  <c r="C168" i="38"/>
  <c r="T155" i="50"/>
  <c r="T157" i="50"/>
  <c r="T154" i="50"/>
  <c r="T159" i="50"/>
  <c r="T151" i="50"/>
  <c r="T162" i="50"/>
  <c r="T164" i="50"/>
  <c r="T161" i="50"/>
  <c r="T153" i="50"/>
  <c r="T158" i="50"/>
  <c r="T163" i="50"/>
  <c r="T152" i="50"/>
  <c r="T160" i="50"/>
  <c r="T150" i="50"/>
  <c r="T156" i="50"/>
  <c r="M68" i="38"/>
  <c r="F68" i="38"/>
  <c r="O68" i="38"/>
  <c r="E68" i="38"/>
  <c r="L68" i="38"/>
  <c r="K68" i="38"/>
  <c r="I68" i="38"/>
  <c r="H68" i="38"/>
  <c r="D68" i="38"/>
  <c r="P68" i="38"/>
  <c r="J68" i="38"/>
  <c r="G68" i="38"/>
  <c r="N68" i="38"/>
  <c r="E24" i="34"/>
  <c r="F24" i="34"/>
  <c r="E39" i="36"/>
  <c r="E40" i="36"/>
  <c r="E17" i="39"/>
  <c r="E12" i="39"/>
  <c r="E32" i="87"/>
  <c r="E37" i="87"/>
  <c r="E31" i="87"/>
  <c r="F32" i="87"/>
  <c r="F31" i="87"/>
  <c r="G32" i="87"/>
  <c r="G31" i="87"/>
  <c r="D32" i="87"/>
  <c r="D31" i="87"/>
  <c r="D43" i="34"/>
  <c r="H32" i="87"/>
  <c r="H31" i="87"/>
  <c r="E98" i="38"/>
  <c r="E105" i="38"/>
  <c r="G98" i="38"/>
  <c r="G105" i="38"/>
  <c r="C100" i="38"/>
  <c r="E100" i="38"/>
  <c r="C101" i="38"/>
  <c r="I101" i="38"/>
  <c r="L98" i="38"/>
  <c r="L105" i="38"/>
  <c r="N98" i="38"/>
  <c r="N105" i="38"/>
  <c r="I98" i="38"/>
  <c r="I105" i="38"/>
  <c r="K98" i="38"/>
  <c r="K105" i="38"/>
  <c r="C99" i="38"/>
  <c r="H99" i="38"/>
  <c r="O98" i="38"/>
  <c r="O105" i="38"/>
  <c r="J98" i="38"/>
  <c r="J105" i="38"/>
  <c r="F98" i="38"/>
  <c r="F105" i="38"/>
  <c r="M98" i="38"/>
  <c r="M105" i="38"/>
  <c r="P56" i="38"/>
  <c r="F88" i="38"/>
  <c r="L91" i="38"/>
  <c r="L88" i="38"/>
  <c r="E91" i="38"/>
  <c r="E88" i="38"/>
  <c r="J91" i="38"/>
  <c r="F5" i="63"/>
  <c r="F9" i="63"/>
  <c r="F14" i="63"/>
  <c r="F26" i="34"/>
  <c r="F27" i="34"/>
  <c r="F28" i="34"/>
  <c r="G24" i="34"/>
  <c r="D12" i="63"/>
  <c r="D14" i="63"/>
  <c r="E10" i="63"/>
  <c r="E84" i="25"/>
  <c r="H84" i="25"/>
  <c r="I84" i="25"/>
  <c r="U152" i="50"/>
  <c r="F84" i="25"/>
  <c r="E93" i="25"/>
  <c r="H93" i="25"/>
  <c r="I93" i="25"/>
  <c r="U161" i="50"/>
  <c r="F93" i="25"/>
  <c r="E91" i="25"/>
  <c r="H91" i="25"/>
  <c r="I91" i="25"/>
  <c r="U159" i="50"/>
  <c r="F91" i="25"/>
  <c r="P87" i="38"/>
  <c r="D98" i="38"/>
  <c r="C43" i="39"/>
  <c r="C38" i="39"/>
  <c r="P66" i="38"/>
  <c r="P73" i="38"/>
  <c r="D73" i="38"/>
  <c r="E106" i="25"/>
  <c r="H106" i="25"/>
  <c r="I106" i="25"/>
  <c r="U185" i="50"/>
  <c r="F106" i="25"/>
  <c r="E108" i="25"/>
  <c r="U187" i="50"/>
  <c r="F108" i="25"/>
  <c r="J108" i="25"/>
  <c r="E113" i="25"/>
  <c r="H113" i="25"/>
  <c r="I113" i="25"/>
  <c r="U192" i="50"/>
  <c r="F113" i="25"/>
  <c r="E105" i="25"/>
  <c r="H105" i="25"/>
  <c r="I105" i="25"/>
  <c r="U184" i="50"/>
  <c r="F105" i="25"/>
  <c r="F172" i="50"/>
  <c r="P184" i="38"/>
  <c r="M88" i="38"/>
  <c r="G34" i="38"/>
  <c r="H34" i="38"/>
  <c r="N34" i="38"/>
  <c r="E34" i="38"/>
  <c r="M34" i="38"/>
  <c r="D34" i="38"/>
  <c r="P34" i="38"/>
  <c r="J34" i="38"/>
  <c r="O34" i="38"/>
  <c r="L34" i="38"/>
  <c r="K34" i="38"/>
  <c r="I34" i="38"/>
  <c r="F34" i="38"/>
  <c r="O91" i="38"/>
  <c r="N88" i="38"/>
  <c r="H32" i="36"/>
  <c r="H33" i="36"/>
  <c r="H45" i="87"/>
  <c r="E88" i="25"/>
  <c r="H88" i="25"/>
  <c r="I88" i="25"/>
  <c r="U156" i="50"/>
  <c r="F88" i="25"/>
  <c r="E95" i="25"/>
  <c r="U163" i="50"/>
  <c r="F95" i="25"/>
  <c r="J95" i="25"/>
  <c r="E96" i="25"/>
  <c r="U164" i="50"/>
  <c r="F96" i="25"/>
  <c r="E86" i="25"/>
  <c r="H86" i="25"/>
  <c r="I86" i="25"/>
  <c r="U154" i="50"/>
  <c r="F86" i="25"/>
  <c r="E116" i="25"/>
  <c r="H116" i="25"/>
  <c r="I116" i="25"/>
  <c r="U195" i="50"/>
  <c r="F116" i="25"/>
  <c r="E114" i="25"/>
  <c r="H114" i="25"/>
  <c r="I114" i="25"/>
  <c r="U193" i="50"/>
  <c r="F114" i="25"/>
  <c r="E115" i="25"/>
  <c r="H115" i="25"/>
  <c r="I115" i="25"/>
  <c r="U194" i="50"/>
  <c r="F115" i="25"/>
  <c r="N35" i="38"/>
  <c r="J35" i="38"/>
  <c r="G35" i="38"/>
  <c r="H35" i="38"/>
  <c r="K35" i="38"/>
  <c r="E35" i="38"/>
  <c r="O35" i="38"/>
  <c r="L35" i="38"/>
  <c r="F35" i="38"/>
  <c r="I35" i="38"/>
  <c r="M35" i="38"/>
  <c r="D35" i="38"/>
  <c r="P35" i="38"/>
  <c r="E82" i="25"/>
  <c r="H82" i="25"/>
  <c r="I82" i="25"/>
  <c r="U150" i="50"/>
  <c r="F82" i="25"/>
  <c r="E90" i="25"/>
  <c r="H90" i="25"/>
  <c r="I90" i="25"/>
  <c r="U158" i="50"/>
  <c r="F90" i="25"/>
  <c r="E94" i="25"/>
  <c r="H94" i="25"/>
  <c r="I94" i="25"/>
  <c r="U162" i="50"/>
  <c r="F94" i="25"/>
  <c r="E89" i="25"/>
  <c r="H89" i="25"/>
  <c r="I89" i="25"/>
  <c r="U157" i="50"/>
  <c r="F89" i="25"/>
  <c r="D91" i="38"/>
  <c r="E110" i="25"/>
  <c r="H110" i="25"/>
  <c r="I110" i="25"/>
  <c r="U189" i="50"/>
  <c r="F110" i="25"/>
  <c r="E112" i="25"/>
  <c r="H112" i="25"/>
  <c r="I112" i="25"/>
  <c r="U191" i="50"/>
  <c r="F112" i="25"/>
  <c r="E119" i="25"/>
  <c r="U198" i="50"/>
  <c r="F119" i="25"/>
  <c r="E107" i="25"/>
  <c r="H107" i="25"/>
  <c r="I107" i="25"/>
  <c r="U186" i="50"/>
  <c r="F107" i="25"/>
  <c r="D127" i="38"/>
  <c r="P124" i="38"/>
  <c r="K91" i="38"/>
  <c r="G36" i="38"/>
  <c r="L36" i="38"/>
  <c r="N36" i="38"/>
  <c r="J36" i="38"/>
  <c r="M36" i="38"/>
  <c r="I36" i="38"/>
  <c r="D36" i="38"/>
  <c r="P36" i="38"/>
  <c r="E36" i="38"/>
  <c r="K36" i="38"/>
  <c r="H36" i="38"/>
  <c r="F36" i="38"/>
  <c r="O36" i="38"/>
  <c r="P33" i="38"/>
  <c r="P40" i="38"/>
  <c r="D40" i="38"/>
  <c r="O88" i="38"/>
  <c r="P131" i="38"/>
  <c r="P138" i="38"/>
  <c r="D138" i="38"/>
  <c r="E26" i="34"/>
  <c r="E5" i="63"/>
  <c r="E9" i="63"/>
  <c r="E4" i="63"/>
  <c r="E92" i="25"/>
  <c r="H92" i="25"/>
  <c r="I92" i="25"/>
  <c r="U160" i="50"/>
  <c r="F92" i="25"/>
  <c r="E85" i="25"/>
  <c r="U153" i="50"/>
  <c r="F85" i="25"/>
  <c r="J85" i="25"/>
  <c r="E83" i="25"/>
  <c r="H83" i="25"/>
  <c r="I83" i="25"/>
  <c r="U151" i="50"/>
  <c r="F83" i="25"/>
  <c r="E87" i="25"/>
  <c r="H87" i="25"/>
  <c r="I87" i="25"/>
  <c r="U155" i="50"/>
  <c r="F87" i="25"/>
  <c r="D88" i="38"/>
  <c r="E118" i="25"/>
  <c r="U197" i="50"/>
  <c r="F118" i="25"/>
  <c r="J118" i="25"/>
  <c r="E109" i="25"/>
  <c r="H109" i="25"/>
  <c r="I109" i="25"/>
  <c r="U188" i="50"/>
  <c r="F109" i="25"/>
  <c r="E111" i="25"/>
  <c r="H111" i="25"/>
  <c r="I111" i="25"/>
  <c r="U190" i="50"/>
  <c r="F111" i="25"/>
  <c r="E117" i="25"/>
  <c r="H117" i="25"/>
  <c r="I117" i="25"/>
  <c r="U196" i="50"/>
  <c r="F117" i="25"/>
  <c r="F91" i="38"/>
  <c r="P189" i="50"/>
  <c r="P196" i="50"/>
  <c r="P155" i="50"/>
  <c r="P186" i="50"/>
  <c r="P164" i="50"/>
  <c r="P194" i="50"/>
  <c r="P153" i="50"/>
  <c r="P192" i="50"/>
  <c r="P161" i="50"/>
  <c r="P184" i="50"/>
  <c r="P156" i="50"/>
  <c r="P193" i="50"/>
  <c r="P154" i="50"/>
  <c r="P190" i="50"/>
  <c r="P158" i="50"/>
  <c r="P157" i="50"/>
  <c r="P160" i="50"/>
  <c r="P185" i="50"/>
  <c r="P151" i="50"/>
  <c r="P195" i="50"/>
  <c r="F137" i="50"/>
  <c r="P163" i="50"/>
  <c r="P197" i="50"/>
  <c r="P152" i="50"/>
  <c r="P187" i="50"/>
  <c r="P188" i="50"/>
  <c r="P191" i="50"/>
  <c r="P159" i="50"/>
  <c r="P150" i="50"/>
  <c r="P198" i="50"/>
  <c r="P162" i="50"/>
  <c r="M91" i="38"/>
  <c r="N91" i="38"/>
  <c r="E61" i="38"/>
  <c r="D63" i="38"/>
  <c r="F37" i="87"/>
  <c r="F34" i="87"/>
  <c r="G37" i="87"/>
  <c r="G34" i="87"/>
  <c r="E40" i="87"/>
  <c r="E39" i="87"/>
  <c r="D37" i="87"/>
  <c r="E34" i="87"/>
  <c r="H34" i="87"/>
  <c r="H37" i="87"/>
  <c r="H40" i="87"/>
  <c r="H100" i="38"/>
  <c r="I100" i="38"/>
  <c r="N100" i="38"/>
  <c r="J100" i="38"/>
  <c r="F100" i="38"/>
  <c r="G100" i="38"/>
  <c r="O100" i="38"/>
  <c r="L100" i="38"/>
  <c r="M100" i="38"/>
  <c r="E101" i="38"/>
  <c r="D100" i="38"/>
  <c r="P100" i="38"/>
  <c r="K100" i="38"/>
  <c r="L99" i="38"/>
  <c r="D101" i="38"/>
  <c r="P101" i="38"/>
  <c r="K101" i="38"/>
  <c r="H101" i="38"/>
  <c r="M101" i="38"/>
  <c r="G101" i="38"/>
  <c r="O99" i="38"/>
  <c r="F101" i="38"/>
  <c r="N101" i="38"/>
  <c r="O101" i="38"/>
  <c r="L101" i="38"/>
  <c r="J101" i="38"/>
  <c r="K99" i="38"/>
  <c r="J99" i="38"/>
  <c r="N99" i="38"/>
  <c r="I99" i="38"/>
  <c r="G99" i="38"/>
  <c r="M99" i="38"/>
  <c r="E99" i="38"/>
  <c r="F99" i="38"/>
  <c r="J94" i="25"/>
  <c r="J93" i="25"/>
  <c r="J89" i="25"/>
  <c r="J90" i="25"/>
  <c r="J115" i="25"/>
  <c r="J116" i="25"/>
  <c r="J113" i="25"/>
  <c r="J117" i="25"/>
  <c r="J109" i="25"/>
  <c r="F138" i="50"/>
  <c r="P151" i="38"/>
  <c r="J87" i="25"/>
  <c r="E13" i="63"/>
  <c r="E14" i="63"/>
  <c r="J107" i="25"/>
  <c r="J112" i="25"/>
  <c r="J86" i="25"/>
  <c r="J105" i="25"/>
  <c r="C102" i="25"/>
  <c r="P63" i="38"/>
  <c r="D70" i="38"/>
  <c r="P70" i="38"/>
  <c r="J111" i="25"/>
  <c r="E27" i="34"/>
  <c r="E28" i="34"/>
  <c r="F43" i="34"/>
  <c r="E43" i="34"/>
  <c r="I184" i="38"/>
  <c r="I190" i="38"/>
  <c r="N184" i="38"/>
  <c r="H184" i="38"/>
  <c r="H190" i="38"/>
  <c r="J184" i="38"/>
  <c r="O184" i="38"/>
  <c r="K184" i="38"/>
  <c r="G184" i="38"/>
  <c r="G190" i="38"/>
  <c r="L184" i="38"/>
  <c r="F184" i="38"/>
  <c r="M184" i="38"/>
  <c r="E184" i="38"/>
  <c r="D184" i="38"/>
  <c r="C202" i="38"/>
  <c r="D202" i="38"/>
  <c r="P202" i="38"/>
  <c r="C197" i="38"/>
  <c r="G5" i="63"/>
  <c r="G9" i="63"/>
  <c r="G14" i="63"/>
  <c r="G26" i="34"/>
  <c r="E62" i="38"/>
  <c r="F61" i="38"/>
  <c r="E64" i="38"/>
  <c r="P88" i="38"/>
  <c r="D99" i="38"/>
  <c r="P99" i="38"/>
  <c r="J83" i="25"/>
  <c r="J92" i="25"/>
  <c r="E126" i="38"/>
  <c r="D128" i="38"/>
  <c r="G119" i="25"/>
  <c r="H119" i="25"/>
  <c r="I119" i="25"/>
  <c r="J119" i="25"/>
  <c r="J110" i="25"/>
  <c r="G96" i="25"/>
  <c r="H96" i="25"/>
  <c r="I96" i="25"/>
  <c r="J96" i="25"/>
  <c r="J88" i="25"/>
  <c r="J106" i="25"/>
  <c r="J91" i="25"/>
  <c r="J84" i="25"/>
  <c r="P91" i="38"/>
  <c r="D94" i="38"/>
  <c r="J82" i="25"/>
  <c r="C79" i="25"/>
  <c r="J114" i="25"/>
  <c r="H35" i="36"/>
  <c r="H38" i="36"/>
  <c r="H41" i="36"/>
  <c r="H25" i="34"/>
  <c r="H7" i="39"/>
  <c r="H46" i="36"/>
  <c r="P98" i="38"/>
  <c r="P105" i="38"/>
  <c r="D105" i="38"/>
  <c r="G40" i="87"/>
  <c r="G39" i="87"/>
  <c r="F40" i="87"/>
  <c r="F39" i="87"/>
  <c r="D40" i="87"/>
  <c r="D39" i="87"/>
  <c r="H41" i="34"/>
  <c r="H11" i="39"/>
  <c r="H38" i="87"/>
  <c r="H39" i="87"/>
  <c r="H6" i="39"/>
  <c r="H42" i="34"/>
  <c r="I7" i="39"/>
  <c r="D135" i="38"/>
  <c r="P135" i="38"/>
  <c r="P128" i="38"/>
  <c r="F62" i="38"/>
  <c r="G61" i="38"/>
  <c r="F186" i="38"/>
  <c r="F197" i="38"/>
  <c r="F204" i="38"/>
  <c r="O186" i="38"/>
  <c r="O197" i="38"/>
  <c r="O204" i="38"/>
  <c r="E93" i="38"/>
  <c r="D95" i="38"/>
  <c r="E127" i="38"/>
  <c r="F126" i="38"/>
  <c r="E129" i="38"/>
  <c r="G27" i="34"/>
  <c r="G28" i="34"/>
  <c r="G43" i="34"/>
  <c r="D186" i="38"/>
  <c r="D187" i="38"/>
  <c r="L186" i="38"/>
  <c r="L197" i="38"/>
  <c r="L204" i="38"/>
  <c r="J186" i="38"/>
  <c r="J197" i="38"/>
  <c r="J204" i="38"/>
  <c r="E71" i="38"/>
  <c r="F64" i="38"/>
  <c r="P64" i="38"/>
  <c r="E186" i="38"/>
  <c r="E197" i="38"/>
  <c r="E204" i="38"/>
  <c r="M151" i="38"/>
  <c r="N151" i="38"/>
  <c r="O151" i="38"/>
  <c r="E151" i="38"/>
  <c r="L151" i="38"/>
  <c r="K151" i="38"/>
  <c r="H151" i="38"/>
  <c r="H157" i="38"/>
  <c r="G151" i="38"/>
  <c r="G157" i="38"/>
  <c r="F151" i="38"/>
  <c r="I151" i="38"/>
  <c r="I157" i="38"/>
  <c r="J151" i="38"/>
  <c r="D151" i="38"/>
  <c r="C169" i="38"/>
  <c r="D169" i="38"/>
  <c r="P169" i="38"/>
  <c r="C164" i="38"/>
  <c r="E63" i="38"/>
  <c r="E70" i="38"/>
  <c r="C200" i="38"/>
  <c r="C198" i="38"/>
  <c r="C199" i="38"/>
  <c r="I197" i="38"/>
  <c r="I204" i="38"/>
  <c r="G197" i="38"/>
  <c r="G204" i="38"/>
  <c r="H197" i="38"/>
  <c r="H204" i="38"/>
  <c r="M186" i="38"/>
  <c r="M197" i="38"/>
  <c r="M204" i="38"/>
  <c r="K186" i="38"/>
  <c r="K197" i="38"/>
  <c r="K204" i="38"/>
  <c r="N186" i="38"/>
  <c r="N197" i="38"/>
  <c r="N204" i="38"/>
  <c r="M190" i="38"/>
  <c r="L190" i="38"/>
  <c r="F190" i="38"/>
  <c r="O190" i="38"/>
  <c r="O187" i="38"/>
  <c r="O198" i="38"/>
  <c r="P187" i="38"/>
  <c r="D198" i="38"/>
  <c r="P198" i="38"/>
  <c r="N187" i="38"/>
  <c r="N198" i="38"/>
  <c r="H200" i="38"/>
  <c r="G200" i="38"/>
  <c r="F200" i="38"/>
  <c r="N200" i="38"/>
  <c r="J200" i="38"/>
  <c r="I200" i="38"/>
  <c r="M200" i="38"/>
  <c r="K200" i="38"/>
  <c r="O200" i="38"/>
  <c r="D200" i="38"/>
  <c r="P200" i="38"/>
  <c r="E200" i="38"/>
  <c r="L200" i="38"/>
  <c r="D153" i="38"/>
  <c r="E153" i="38"/>
  <c r="E164" i="38"/>
  <c r="E171" i="38"/>
  <c r="E187" i="38"/>
  <c r="E198" i="38"/>
  <c r="G64" i="38"/>
  <c r="F71" i="38"/>
  <c r="D190" i="38"/>
  <c r="E128" i="38"/>
  <c r="E135" i="38"/>
  <c r="J153" i="38"/>
  <c r="J164" i="38"/>
  <c r="J171" i="38"/>
  <c r="O153" i="38"/>
  <c r="O164" i="38"/>
  <c r="O171" i="38"/>
  <c r="F127" i="38"/>
  <c r="G126" i="38"/>
  <c r="H12" i="39"/>
  <c r="H24" i="34"/>
  <c r="H17" i="39"/>
  <c r="C27" i="39"/>
  <c r="H39" i="36"/>
  <c r="H40" i="36"/>
  <c r="C39" i="39"/>
  <c r="K190" i="38"/>
  <c r="M187" i="38"/>
  <c r="M198" i="38"/>
  <c r="L199" i="38"/>
  <c r="I199" i="38"/>
  <c r="D199" i="38"/>
  <c r="P199" i="38"/>
  <c r="N199" i="38"/>
  <c r="K199" i="38"/>
  <c r="O199" i="38"/>
  <c r="G199" i="38"/>
  <c r="J199" i="38"/>
  <c r="H199" i="38"/>
  <c r="E199" i="38"/>
  <c r="M199" i="38"/>
  <c r="F199" i="38"/>
  <c r="C165" i="38"/>
  <c r="C167" i="38"/>
  <c r="C166" i="38"/>
  <c r="G164" i="38"/>
  <c r="G171" i="38"/>
  <c r="I164" i="38"/>
  <c r="I171" i="38"/>
  <c r="H164" i="38"/>
  <c r="H171" i="38"/>
  <c r="K153" i="38"/>
  <c r="K164" i="38"/>
  <c r="K171" i="38"/>
  <c r="N153" i="38"/>
  <c r="N164" i="38"/>
  <c r="N171" i="38"/>
  <c r="E190" i="38"/>
  <c r="D102" i="38"/>
  <c r="P102" i="38"/>
  <c r="P95" i="38"/>
  <c r="F63" i="38"/>
  <c r="F70" i="38"/>
  <c r="J7" i="39"/>
  <c r="I11" i="39"/>
  <c r="N190" i="38"/>
  <c r="J198" i="38"/>
  <c r="H198" i="38"/>
  <c r="I198" i="38"/>
  <c r="G198" i="38"/>
  <c r="K198" i="38"/>
  <c r="L198" i="38"/>
  <c r="F153" i="38"/>
  <c r="F164" i="38"/>
  <c r="F171" i="38"/>
  <c r="L153" i="38"/>
  <c r="L164" i="38"/>
  <c r="L171" i="38"/>
  <c r="M153" i="38"/>
  <c r="M164" i="38"/>
  <c r="M171" i="38"/>
  <c r="J190" i="38"/>
  <c r="D197" i="38"/>
  <c r="P186" i="38"/>
  <c r="F129" i="38"/>
  <c r="E136" i="38"/>
  <c r="P129" i="38"/>
  <c r="E94" i="38"/>
  <c r="F93" i="38"/>
  <c r="E96" i="38"/>
  <c r="F187" i="38"/>
  <c r="F198" i="38"/>
  <c r="G62" i="38"/>
  <c r="H61" i="38"/>
  <c r="L154" i="38"/>
  <c r="L165" i="38"/>
  <c r="G63" i="38"/>
  <c r="G70" i="38"/>
  <c r="E95" i="38"/>
  <c r="E102" i="38"/>
  <c r="L157" i="38"/>
  <c r="M154" i="38"/>
  <c r="M165" i="38"/>
  <c r="M157" i="38"/>
  <c r="F128" i="38"/>
  <c r="F135" i="38"/>
  <c r="H62" i="38"/>
  <c r="I61" i="38"/>
  <c r="F94" i="38"/>
  <c r="G93" i="38"/>
  <c r="N157" i="38"/>
  <c r="K157" i="38"/>
  <c r="I166" i="38"/>
  <c r="K166" i="38"/>
  <c r="L166" i="38"/>
  <c r="E166" i="38"/>
  <c r="J166" i="38"/>
  <c r="M166" i="38"/>
  <c r="O166" i="38"/>
  <c r="D166" i="38"/>
  <c r="P166" i="38"/>
  <c r="G166" i="38"/>
  <c r="H166" i="38"/>
  <c r="F166" i="38"/>
  <c r="N166" i="38"/>
  <c r="O157" i="38"/>
  <c r="D193" i="38"/>
  <c r="P190" i="38"/>
  <c r="P153" i="38"/>
  <c r="D164" i="38"/>
  <c r="P197" i="38"/>
  <c r="P204" i="38"/>
  <c r="D204" i="38"/>
  <c r="F157" i="38"/>
  <c r="N154" i="38"/>
  <c r="N165" i="38"/>
  <c r="J167" i="38"/>
  <c r="H167" i="38"/>
  <c r="G167" i="38"/>
  <c r="K167" i="38"/>
  <c r="E167" i="38"/>
  <c r="I167" i="38"/>
  <c r="F167" i="38"/>
  <c r="N167" i="38"/>
  <c r="L167" i="38"/>
  <c r="O167" i="38"/>
  <c r="M167" i="38"/>
  <c r="D167" i="38"/>
  <c r="P167" i="38"/>
  <c r="H26" i="34"/>
  <c r="H5" i="63"/>
  <c r="H9" i="63"/>
  <c r="H14" i="63"/>
  <c r="G127" i="38"/>
  <c r="H126" i="38"/>
  <c r="J157" i="38"/>
  <c r="E157" i="38"/>
  <c r="F96" i="38"/>
  <c r="P96" i="38"/>
  <c r="E103" i="38"/>
  <c r="I12" i="39"/>
  <c r="I17" i="39"/>
  <c r="F25" i="39"/>
  <c r="F26" i="39"/>
  <c r="F27" i="39"/>
  <c r="E165" i="38"/>
  <c r="I165" i="38"/>
  <c r="J165" i="38"/>
  <c r="F165" i="38"/>
  <c r="G165" i="38"/>
  <c r="K165" i="38"/>
  <c r="H165" i="38"/>
  <c r="O154" i="38"/>
  <c r="O165" i="38"/>
  <c r="G71" i="38"/>
  <c r="H64" i="38"/>
  <c r="D154" i="38"/>
  <c r="G129" i="38"/>
  <c r="F136" i="38"/>
  <c r="K7" i="39"/>
  <c r="K11" i="39"/>
  <c r="J11" i="39"/>
  <c r="C31" i="39"/>
  <c r="C28" i="39"/>
  <c r="C30" i="39"/>
  <c r="C42" i="39"/>
  <c r="C44" i="39"/>
  <c r="D157" i="38"/>
  <c r="G128" i="38"/>
  <c r="G135" i="38"/>
  <c r="H27" i="34"/>
  <c r="H28" i="34"/>
  <c r="H43" i="34"/>
  <c r="E192" i="38"/>
  <c r="D194" i="38"/>
  <c r="F95" i="38"/>
  <c r="F102" i="38"/>
  <c r="G136" i="38"/>
  <c r="H129" i="38"/>
  <c r="P164" i="38"/>
  <c r="P171" i="38"/>
  <c r="D171" i="38"/>
  <c r="G94" i="38"/>
  <c r="H93" i="38"/>
  <c r="P157" i="38"/>
  <c r="D160" i="38"/>
  <c r="J12" i="39"/>
  <c r="J17" i="39"/>
  <c r="P154" i="38"/>
  <c r="D165" i="38"/>
  <c r="P165" i="38"/>
  <c r="G96" i="38"/>
  <c r="F103" i="38"/>
  <c r="H127" i="38"/>
  <c r="I126" i="38"/>
  <c r="H63" i="38"/>
  <c r="H70" i="38"/>
  <c r="K17" i="39"/>
  <c r="K12" i="39"/>
  <c r="H71" i="38"/>
  <c r="I64" i="38"/>
  <c r="I62" i="38"/>
  <c r="J61" i="38"/>
  <c r="I63" i="38"/>
  <c r="I70" i="38"/>
  <c r="H128" i="38"/>
  <c r="H135" i="38"/>
  <c r="J62" i="38"/>
  <c r="K61" i="38"/>
  <c r="I127" i="38"/>
  <c r="J126" i="38"/>
  <c r="D201" i="38"/>
  <c r="P201" i="38"/>
  <c r="P194" i="38"/>
  <c r="G95" i="38"/>
  <c r="G102" i="38"/>
  <c r="I129" i="38"/>
  <c r="H136" i="38"/>
  <c r="E193" i="38"/>
  <c r="F192" i="38"/>
  <c r="E195" i="38"/>
  <c r="J64" i="38"/>
  <c r="I71" i="38"/>
  <c r="G103" i="38"/>
  <c r="H96" i="38"/>
  <c r="H94" i="38"/>
  <c r="I93" i="38"/>
  <c r="E159" i="38"/>
  <c r="D161" i="38"/>
  <c r="H95" i="38"/>
  <c r="H102" i="38"/>
  <c r="D168" i="38"/>
  <c r="P168" i="38"/>
  <c r="P161" i="38"/>
  <c r="I96" i="38"/>
  <c r="H103" i="38"/>
  <c r="E202" i="38"/>
  <c r="P195" i="38"/>
  <c r="F195" i="38"/>
  <c r="J129" i="38"/>
  <c r="I136" i="38"/>
  <c r="J127" i="38"/>
  <c r="K126" i="38"/>
  <c r="E160" i="38"/>
  <c r="F159" i="38"/>
  <c r="E162" i="38"/>
  <c r="F193" i="38"/>
  <c r="G192" i="38"/>
  <c r="I128" i="38"/>
  <c r="I135" i="38"/>
  <c r="I94" i="38"/>
  <c r="J93" i="38"/>
  <c r="E194" i="38"/>
  <c r="E201" i="38"/>
  <c r="J63" i="38"/>
  <c r="J70" i="38"/>
  <c r="J71" i="38"/>
  <c r="K64" i="38"/>
  <c r="K62" i="38"/>
  <c r="L61" i="38"/>
  <c r="E161" i="38"/>
  <c r="E168" i="38"/>
  <c r="L62" i="38"/>
  <c r="M61" i="38"/>
  <c r="G193" i="38"/>
  <c r="H192" i="38"/>
  <c r="K129" i="38"/>
  <c r="J136" i="38"/>
  <c r="K71" i="38"/>
  <c r="L64" i="38"/>
  <c r="J94" i="38"/>
  <c r="K93" i="38"/>
  <c r="F194" i="38"/>
  <c r="F201" i="38"/>
  <c r="K127" i="38"/>
  <c r="L126" i="38"/>
  <c r="F202" i="38"/>
  <c r="G195" i="38"/>
  <c r="I103" i="38"/>
  <c r="J96" i="38"/>
  <c r="I95" i="38"/>
  <c r="I102" i="38"/>
  <c r="F162" i="38"/>
  <c r="P162" i="38"/>
  <c r="E169" i="38"/>
  <c r="J128" i="38"/>
  <c r="J135" i="38"/>
  <c r="K63" i="38"/>
  <c r="K70" i="38"/>
  <c r="F160" i="38"/>
  <c r="G159" i="38"/>
  <c r="K128" i="38"/>
  <c r="K135" i="38"/>
  <c r="F161" i="38"/>
  <c r="F168" i="38"/>
  <c r="L127" i="38"/>
  <c r="M126" i="38"/>
  <c r="M64" i="38"/>
  <c r="L71" i="38"/>
  <c r="G194" i="38"/>
  <c r="G201" i="38"/>
  <c r="G162" i="38"/>
  <c r="F169" i="38"/>
  <c r="G202" i="38"/>
  <c r="H195" i="38"/>
  <c r="H193" i="38"/>
  <c r="I192" i="38"/>
  <c r="J95" i="38"/>
  <c r="J102" i="38"/>
  <c r="M62" i="38"/>
  <c r="N61" i="38"/>
  <c r="G160" i="38"/>
  <c r="H159" i="38"/>
  <c r="J103" i="38"/>
  <c r="K96" i="38"/>
  <c r="K94" i="38"/>
  <c r="L93" i="38"/>
  <c r="K136" i="38"/>
  <c r="L129" i="38"/>
  <c r="L63" i="38"/>
  <c r="L70" i="38"/>
  <c r="H194" i="38"/>
  <c r="H201" i="38"/>
  <c r="L94" i="38"/>
  <c r="M93" i="38"/>
  <c r="G161" i="38"/>
  <c r="G168" i="38"/>
  <c r="M71" i="38"/>
  <c r="N64" i="38"/>
  <c r="L136" i="38"/>
  <c r="M129" i="38"/>
  <c r="K103" i="38"/>
  <c r="L96" i="38"/>
  <c r="N62" i="38"/>
  <c r="O61" i="38"/>
  <c r="I193" i="38"/>
  <c r="J192" i="38"/>
  <c r="G169" i="38"/>
  <c r="H162" i="38"/>
  <c r="L128" i="38"/>
  <c r="L135" i="38"/>
  <c r="M63" i="38"/>
  <c r="M70" i="38"/>
  <c r="H202" i="38"/>
  <c r="I195" i="38"/>
  <c r="M127" i="38"/>
  <c r="N126" i="38"/>
  <c r="K95" i="38"/>
  <c r="K102" i="38"/>
  <c r="H160" i="38"/>
  <c r="I159" i="38"/>
  <c r="N63" i="38"/>
  <c r="N70" i="38"/>
  <c r="H161" i="38"/>
  <c r="H168" i="38"/>
  <c r="N127" i="38"/>
  <c r="O126" i="38"/>
  <c r="I194" i="38"/>
  <c r="I201" i="38"/>
  <c r="I160" i="38"/>
  <c r="J159" i="38"/>
  <c r="J195" i="38"/>
  <c r="I202" i="38"/>
  <c r="H169" i="38"/>
  <c r="I162" i="38"/>
  <c r="M136" i="38"/>
  <c r="N129" i="38"/>
  <c r="O62" i="38"/>
  <c r="O63" i="38"/>
  <c r="O70" i="38"/>
  <c r="M94" i="38"/>
  <c r="N93" i="38"/>
  <c r="M128" i="38"/>
  <c r="M135" i="38"/>
  <c r="J193" i="38"/>
  <c r="K192" i="38"/>
  <c r="L103" i="38"/>
  <c r="M96" i="38"/>
  <c r="O64" i="38"/>
  <c r="O71" i="38"/>
  <c r="N71" i="38"/>
  <c r="L95" i="38"/>
  <c r="L102" i="38"/>
  <c r="M95" i="38"/>
  <c r="M102" i="38"/>
  <c r="O129" i="38"/>
  <c r="O136" i="38"/>
  <c r="N136" i="38"/>
  <c r="K193" i="38"/>
  <c r="L192" i="38"/>
  <c r="N94" i="38"/>
  <c r="O93" i="38"/>
  <c r="J202" i="38"/>
  <c r="K195" i="38"/>
  <c r="N128" i="38"/>
  <c r="N135" i="38"/>
  <c r="J194" i="38"/>
  <c r="J201" i="38"/>
  <c r="I169" i="38"/>
  <c r="J162" i="38"/>
  <c r="I161" i="38"/>
  <c r="I168" i="38"/>
  <c r="O127" i="38"/>
  <c r="O128" i="38"/>
  <c r="O135" i="38"/>
  <c r="N96" i="38"/>
  <c r="M103" i="38"/>
  <c r="J160" i="38"/>
  <c r="K159" i="38"/>
  <c r="J161" i="38"/>
  <c r="J168" i="38"/>
  <c r="K194" i="38"/>
  <c r="K201" i="38"/>
  <c r="O96" i="38"/>
  <c r="O103" i="38"/>
  <c r="N103" i="38"/>
  <c r="K162" i="38"/>
  <c r="J169" i="38"/>
  <c r="K202" i="38"/>
  <c r="L195" i="38"/>
  <c r="L193" i="38"/>
  <c r="M192" i="38"/>
  <c r="K160" i="38"/>
  <c r="L159" i="38"/>
  <c r="N95" i="38"/>
  <c r="N102" i="38"/>
  <c r="O94" i="38"/>
  <c r="O95" i="38"/>
  <c r="O102" i="38"/>
  <c r="L194" i="38"/>
  <c r="L201" i="38"/>
  <c r="M193" i="38"/>
  <c r="N192" i="38"/>
  <c r="L162" i="38"/>
  <c r="K169" i="38"/>
  <c r="K161" i="38"/>
  <c r="K168" i="38"/>
  <c r="M195" i="38"/>
  <c r="L202" i="38"/>
  <c r="L160" i="38"/>
  <c r="M159" i="38"/>
  <c r="M160" i="38"/>
  <c r="N159" i="38"/>
  <c r="L169" i="38"/>
  <c r="M162" i="38"/>
  <c r="N195" i="38"/>
  <c r="M202" i="38"/>
  <c r="N193" i="38"/>
  <c r="O192" i="38"/>
  <c r="L161" i="38"/>
  <c r="L168" i="38"/>
  <c r="M194" i="38"/>
  <c r="M201" i="38"/>
  <c r="O193" i="38"/>
  <c r="O194" i="38"/>
  <c r="O201" i="38"/>
  <c r="M169" i="38"/>
  <c r="N162" i="38"/>
  <c r="N194" i="38"/>
  <c r="N201" i="38"/>
  <c r="M161" i="38"/>
  <c r="M168" i="38"/>
  <c r="O195" i="38"/>
  <c r="O202" i="38"/>
  <c r="N202" i="38"/>
  <c r="N160" i="38"/>
  <c r="O159" i="38"/>
  <c r="N161" i="38"/>
  <c r="N168" i="38"/>
  <c r="N169" i="38"/>
  <c r="O162" i="38"/>
  <c r="O169" i="38"/>
  <c r="O160" i="38"/>
  <c r="O161" i="38"/>
  <c r="O168" i="38"/>
</calcChain>
</file>

<file path=xl/comments1.xml><?xml version="1.0" encoding="utf-8"?>
<comments xmlns="http://schemas.openxmlformats.org/spreadsheetml/2006/main">
  <authors>
    <author>Zhu, Yixuan</author>
  </authors>
  <commentList>
    <comment ref="E37" authorId="0">
      <text>
        <r>
          <rPr>
            <b/>
            <sz val="9"/>
            <color indexed="81"/>
            <rFont val="Tahoma"/>
            <family val="2"/>
          </rPr>
          <t>@RISK Correlation NewMatrix1
Updated: 11/18/2017 2:55:53 PM</t>
        </r>
      </text>
    </comment>
  </commentList>
</comments>
</file>

<file path=xl/comments2.xml><?xml version="1.0" encoding="utf-8"?>
<comments xmlns="http://schemas.openxmlformats.org/spreadsheetml/2006/main">
  <authors>
    <author>Zhu, Yixuan</author>
  </authors>
  <commentList>
    <comment ref="E39" authorId="0">
      <text>
        <r>
          <rPr>
            <b/>
            <sz val="9"/>
            <color indexed="81"/>
            <rFont val="Tahoma"/>
            <family val="2"/>
          </rPr>
          <t>@RISK Correlation NewMatrix1
Updated: 11/18/2017 2:55:53 PM</t>
        </r>
      </text>
    </comment>
  </commentList>
</comments>
</file>

<file path=xl/sharedStrings.xml><?xml version="1.0" encoding="utf-8"?>
<sst xmlns="http://schemas.openxmlformats.org/spreadsheetml/2006/main" count="4868" uniqueCount="1542">
  <si>
    <t>Professor Meier, Professor Bellamy, Professor Steinbuch, Professor Sabin</t>
  </si>
  <si>
    <t>Section</t>
  </si>
  <si>
    <t>SM323 B4</t>
  </si>
  <si>
    <t>Team 1</t>
  </si>
  <si>
    <t>Nailya Yafyasova, Chaney Takiguchi, Yuanri (Kevin) Lin, Yalun (Allen) Wang, Ethan Sassouni, Lauren Srour, Yixuan (Susie) Zhu, Luca Ricolfi, Meghan Peters, Louis Tzamalas</t>
  </si>
  <si>
    <t>Product</t>
  </si>
  <si>
    <t>SolPower</t>
  </si>
  <si>
    <t>Date</t>
  </si>
  <si>
    <t>Table of Contents</t>
  </si>
  <si>
    <t xml:space="preserve"> </t>
  </si>
  <si>
    <t>General Assumptions</t>
  </si>
  <si>
    <t>Capacity</t>
  </si>
  <si>
    <t>Aggregate Plan</t>
  </si>
  <si>
    <t>Inventory</t>
  </si>
  <si>
    <t>Logistics</t>
  </si>
  <si>
    <t>Salaries</t>
  </si>
  <si>
    <t>Location</t>
  </si>
  <si>
    <t>Overhead</t>
  </si>
  <si>
    <t>Scrap and Defect</t>
  </si>
  <si>
    <t>House of Quality</t>
  </si>
  <si>
    <t>Office</t>
  </si>
  <si>
    <t>IT</t>
  </si>
  <si>
    <t>Bases Model (Base Case)</t>
  </si>
  <si>
    <t>Avg. Weighted Manufacturer Price</t>
  </si>
  <si>
    <t>Purchase Intent and Price</t>
  </si>
  <si>
    <t>ACV</t>
  </si>
  <si>
    <t>IMC Schedules </t>
  </si>
  <si>
    <t>IMC References</t>
  </si>
  <si>
    <t>FE Assumptions</t>
  </si>
  <si>
    <t>Income Statement</t>
  </si>
  <si>
    <t>Balance Sheet</t>
  </si>
  <si>
    <t>Valuation</t>
  </si>
  <si>
    <t>Funding</t>
  </si>
  <si>
    <t>Break-even Analysis</t>
  </si>
  <si>
    <t>Depreciation Tables</t>
  </si>
  <si>
    <t>Comparable Companies Analysis </t>
  </si>
  <si>
    <t>Risk Mitigation Cost</t>
  </si>
  <si>
    <t>Influence Chart</t>
  </si>
  <si>
    <t>Index</t>
  </si>
  <si>
    <t>Operations Assumptions</t>
  </si>
  <si>
    <t>Days in Year </t>
  </si>
  <si>
    <t>Hours in a Day </t>
  </si>
  <si>
    <t>Weeks / Year</t>
  </si>
  <si>
    <t>Days / Week</t>
  </si>
  <si>
    <t>Minutes </t>
  </si>
  <si>
    <t>Call Center: If 0 servers, we assume we won't hire a full time customer service representative and someone else in the organizacation can do the job.  </t>
  </si>
  <si>
    <t>Call Center: Customer Support %</t>
  </si>
  <si>
    <t>Operators can only work 10 hours of overtime per week</t>
  </si>
  <si>
    <t>Number of Weeks / Year</t>
  </si>
  <si>
    <t>Inventory Carrying Cost Rate</t>
  </si>
  <si>
    <t>Production Lead Time (week)</t>
  </si>
  <si>
    <t>Days in Week</t>
  </si>
  <si>
    <t>Lead Time from China (days)</t>
  </si>
  <si>
    <t>Lead Time from US (days)</t>
  </si>
  <si>
    <t>Fixed Cost / RM order</t>
  </si>
  <si>
    <t>Crate Cost:</t>
  </si>
  <si>
    <t>Cost if not Full</t>
  </si>
  <si>
    <t>Twice the cost per square meter of full crate</t>
  </si>
  <si>
    <t>Hourly Wages</t>
  </si>
  <si>
    <t>Scrap + Defect</t>
  </si>
  <si>
    <t>Months / Year</t>
  </si>
  <si>
    <t>Scap Rate Month 1  </t>
  </si>
  <si>
    <t>Scrap Rate Month 2 </t>
  </si>
  <si>
    <t>Scrap Rate All Else </t>
  </si>
  <si>
    <t>Supplier Defect Month 1</t>
  </si>
  <si>
    <t>Supplier Defect Thereafter</t>
  </si>
  <si>
    <t>MK Assumptions</t>
  </si>
  <si>
    <t>Purchase Intention Assumptions</t>
  </si>
  <si>
    <t>Adjustments for Probably Buy</t>
  </si>
  <si>
    <t>Adjustments for Definitely Buy</t>
  </si>
  <si>
    <t>Awareness Assumption</t>
  </si>
  <si>
    <t>Year 1</t>
  </si>
  <si>
    <t>Year 2</t>
  </si>
  <si>
    <t>Year 3</t>
  </si>
  <si>
    <t>Year 4</t>
  </si>
  <si>
    <t>Year 5</t>
  </si>
  <si>
    <t>Online</t>
  </si>
  <si>
    <t>PR</t>
  </si>
  <si>
    <t>Equipment</t>
  </si>
  <si>
    <t>Cost</t>
  </si>
  <si>
    <t>Supplier</t>
  </si>
  <si>
    <t>Sewing Machine</t>
  </si>
  <si>
    <t>Dongguan Xingchi Sewing Equipment Co., Ltd</t>
  </si>
  <si>
    <t>Plastic Molds (Heavy Plastic)</t>
  </si>
  <si>
    <t>TAP Plastics</t>
  </si>
  <si>
    <t>Ruler</t>
  </si>
  <si>
    <t>Target</t>
  </si>
  <si>
    <t>Scissors</t>
  </si>
  <si>
    <t>Doolin US</t>
  </si>
  <si>
    <t>Tables</t>
  </si>
  <si>
    <t>ULINE</t>
  </si>
  <si>
    <t>Carts</t>
  </si>
  <si>
    <t>Qindao Ruihao Industrial Products Co</t>
  </si>
  <si>
    <t>Forklifts</t>
  </si>
  <si>
    <t>Jinan Shine International Trading Co</t>
  </si>
  <si>
    <t>Chairs</t>
  </si>
  <si>
    <t>Flash Furniture</t>
  </si>
  <si>
    <t>Scanner</t>
  </si>
  <si>
    <t>Foshan Xincode Electronics Technology Co.,Ltd</t>
  </si>
  <si>
    <t>Printer</t>
  </si>
  <si>
    <t xml:space="preserve"> Xiamen Rongta Technology Co., Ltd.</t>
  </si>
  <si>
    <t>Year 1 Units Needed</t>
  </si>
  <si>
    <t>Tasks</t>
  </si>
  <si>
    <t>Task time (min)</t>
  </si>
  <si>
    <t>Number of Employees / Tasks</t>
  </si>
  <si>
    <t>Required Cycle Time (min)</t>
  </si>
  <si>
    <t>Receive Raw Materials</t>
  </si>
  <si>
    <t>Cycle Time (min)</t>
  </si>
  <si>
    <t>Inspect Raw Materials</t>
  </si>
  <si>
    <t>Maximum Capacity</t>
  </si>
  <si>
    <t>Move Raw Materials to Inventory</t>
  </si>
  <si>
    <t>Get Materials from Inventory</t>
  </si>
  <si>
    <t>Units</t>
  </si>
  <si>
    <t>Cut Fabric &amp; Lining</t>
  </si>
  <si>
    <t>Cut Padding &amp; Cooling Material</t>
  </si>
  <si>
    <t>Cut Webbing, Leather, &amp; Mesh</t>
  </si>
  <si>
    <t>Cut Binding Tape &amp; Elastic</t>
  </si>
  <si>
    <t>Quality Check for Cut Pieces</t>
  </si>
  <si>
    <t>Sew Back Part</t>
  </si>
  <si>
    <t>Sew Front &amp; Straps</t>
  </si>
  <si>
    <t>Insert Solar Panel &amp; Battery</t>
  </si>
  <si>
    <t>Sew Parts Together</t>
  </si>
  <si>
    <t>Quality Check for Sewed Parts</t>
  </si>
  <si>
    <t>Attach Webbing &amp; Zippers</t>
  </si>
  <si>
    <t>Maintenance Fee</t>
  </si>
  <si>
    <t>Final Quality Check</t>
  </si>
  <si>
    <t>TOTAL:</t>
  </si>
  <si>
    <t>Move FG to Inventory</t>
  </si>
  <si>
    <t>Total</t>
  </si>
  <si>
    <t>Receive Order</t>
  </si>
  <si>
    <t>Cycle Time</t>
  </si>
  <si>
    <t>Transmit Order to Pick &amp; Pack</t>
  </si>
  <si>
    <t>Throughput Time</t>
  </si>
  <si>
    <t>Pick-Up Order</t>
  </si>
  <si>
    <t>Pick and Label Orders for Shipments</t>
  </si>
  <si>
    <t>Total Online Units</t>
  </si>
  <si>
    <t>Move Packages Ready for Mailing to Holding Area</t>
  </si>
  <si>
    <t>Total Website Units</t>
  </si>
  <si>
    <t>Predicted Orders Daily</t>
  </si>
  <si>
    <t>Total Time Spent Daily (Hours)</t>
  </si>
  <si>
    <t>Year 1 Units</t>
  </si>
  <si>
    <t>Total Phone/Web Support</t>
  </si>
  <si>
    <t>Daily Call Volume</t>
  </si>
  <si>
    <t>Hourly Call Volume</t>
  </si>
  <si>
    <t>Call Volume per Minute (λ)</t>
  </si>
  <si>
    <t>Service Rate (µ)</t>
  </si>
  <si>
    <t>Servers</t>
  </si>
  <si>
    <t>Average number of customers waiting (Lq)</t>
  </si>
  <si>
    <t>Average time a customer waits in line (Wq)</t>
  </si>
  <si>
    <t>Year 2 Units Needed</t>
  </si>
  <si>
    <t>Number of employees</t>
  </si>
  <si>
    <t>Cycle Time (min)</t>
  </si>
  <si>
    <t>New Units</t>
  </si>
  <si>
    <t>Total New Unit Cost</t>
  </si>
  <si>
    <t>Year 2 Units</t>
  </si>
  <si>
    <t>Year 3 Units Needed</t>
  </si>
  <si>
    <t>Throughput Time (min)</t>
  </si>
  <si>
    <t>Year 3 Units</t>
  </si>
  <si>
    <t>Year 4 Units Needed</t>
  </si>
  <si>
    <t>Year 4 Units</t>
  </si>
  <si>
    <t>Year 5 Units Needed</t>
  </si>
  <si>
    <t>Year 5 Units</t>
  </si>
  <si>
    <t>Total Phone/Web Support  </t>
  </si>
  <si>
    <t>Daily Call Volume  </t>
  </si>
  <si>
    <t>Call Volume per Minute (λ)  </t>
  </si>
  <si>
    <t>Service Rate (µ)    </t>
  </si>
  <si>
    <t>VF Corporation: Quarterly Distribution of Sales</t>
  </si>
  <si>
    <t>Quarter 1</t>
  </si>
  <si>
    <t>Quarter 2</t>
  </si>
  <si>
    <t>Quarter 3</t>
  </si>
  <si>
    <t>Quarter 4</t>
  </si>
  <si>
    <t xml:space="preserve">Total </t>
  </si>
  <si>
    <t>Sales</t>
  </si>
  <si>
    <t>Distribution</t>
  </si>
  <si>
    <t>Estimated Monthly Distribution</t>
  </si>
  <si>
    <t>Month</t>
  </si>
  <si>
    <t>January</t>
  </si>
  <si>
    <t>February</t>
  </si>
  <si>
    <t>March</t>
  </si>
  <si>
    <t>April</t>
  </si>
  <si>
    <t>May</t>
  </si>
  <si>
    <t>June</t>
  </si>
  <si>
    <t>July</t>
  </si>
  <si>
    <t>August</t>
  </si>
  <si>
    <t>September</t>
  </si>
  <si>
    <t>October</t>
  </si>
  <si>
    <t>November</t>
  </si>
  <si>
    <t>December</t>
  </si>
  <si>
    <t>Year 0</t>
  </si>
  <si>
    <t>Total Employees</t>
  </si>
  <si>
    <t>Regular</t>
  </si>
  <si>
    <t>Overtime</t>
  </si>
  <si>
    <t>Period</t>
  </si>
  <si>
    <t>Forecast</t>
  </si>
  <si>
    <t>Output</t>
  </si>
  <si>
    <t xml:space="preserve">    Regular</t>
  </si>
  <si>
    <t xml:space="preserve">    Overtime</t>
  </si>
  <si>
    <t xml:space="preserve">    Part Time</t>
  </si>
  <si>
    <t xml:space="preserve">    Subcontract</t>
  </si>
  <si>
    <t>Output - Forecast</t>
  </si>
  <si>
    <t xml:space="preserve">    Beginning</t>
  </si>
  <si>
    <t xml:space="preserve">    Ending</t>
  </si>
  <si>
    <t xml:space="preserve">    Average</t>
  </si>
  <si>
    <t>Backorders</t>
  </si>
  <si>
    <t>Costs:</t>
  </si>
  <si>
    <t>Regular        @</t>
  </si>
  <si>
    <t>Overtime      @</t>
  </si>
  <si>
    <t>Part Time     @</t>
  </si>
  <si>
    <t>Subcontract  @</t>
  </si>
  <si>
    <t>Inventory      @</t>
  </si>
  <si>
    <t>Backorders  @</t>
  </si>
  <si>
    <t>Hire/Lay off</t>
  </si>
  <si>
    <t>Backpack Dimensions</t>
  </si>
  <si>
    <t>Value</t>
  </si>
  <si>
    <t>Year 1-5</t>
  </si>
  <si>
    <t>Width</t>
  </si>
  <si>
    <t>inches</t>
  </si>
  <si>
    <t>DM Cost</t>
  </si>
  <si>
    <t>Height</t>
  </si>
  <si>
    <t>Including Scrap</t>
  </si>
  <si>
    <t>Length</t>
  </si>
  <si>
    <t xml:space="preserve">Surface Area </t>
  </si>
  <si>
    <t>sq. inches</t>
  </si>
  <si>
    <t>Handle Width</t>
  </si>
  <si>
    <t>Adjustment rate</t>
  </si>
  <si>
    <t>%</t>
  </si>
  <si>
    <t>Strap Width</t>
  </si>
  <si>
    <t>Strap Thickness</t>
  </si>
  <si>
    <t xml:space="preserve">Items </t>
  </si>
  <si>
    <t>Type</t>
  </si>
  <si>
    <t>Quantity / unit</t>
  </si>
  <si>
    <t>Certification</t>
  </si>
  <si>
    <t>Material Cost</t>
  </si>
  <si>
    <t>Material Shipping Cost</t>
  </si>
  <si>
    <t>Units Included / Sale Size</t>
  </si>
  <si>
    <t>Units Needed / FG / Sale Size</t>
  </si>
  <si>
    <t>DM Cost per FG</t>
  </si>
  <si>
    <t>DM Cost per FG w/o shipping</t>
  </si>
  <si>
    <t>Dust Bag</t>
  </si>
  <si>
    <t>Custom size dust garment plastic bag</t>
  </si>
  <si>
    <t>unit</t>
  </si>
  <si>
    <t xml:space="preserve"> Wuxi Eternal Eagle Textile Co., Ltd.</t>
  </si>
  <si>
    <t>SGS,REACH,MSDS,CE,ISO</t>
  </si>
  <si>
    <t>Brand Tag</t>
  </si>
  <si>
    <t>Custom design printed brand logo garment tag</t>
  </si>
  <si>
    <t>Guangzhou Qiyuan Packing Material Co., Ltd.</t>
  </si>
  <si>
    <t>ISO9001, Alibaba Third Party Verification</t>
  </si>
  <si>
    <t>Zipper (varies)</t>
  </si>
  <si>
    <t>Eco-Friendly Home Textile Two Way Water Resistant Zipper</t>
  </si>
  <si>
    <t>Wenzhou Runhe Garment Accessories Co., Ltd.</t>
  </si>
  <si>
    <t>ISO9001,SGS,OEKO-TEX100</t>
  </si>
  <si>
    <t>Exterior fabric</t>
  </si>
  <si>
    <t>600 Denier heavy weight polyester canvas backed with a .55mm PVC vinyl layer</t>
  </si>
  <si>
    <t xml:space="preserve">Oldtrailfabric </t>
  </si>
  <si>
    <t>Alibaba Third Party Verification</t>
  </si>
  <si>
    <t>Solar Panel</t>
  </si>
  <si>
    <t>Monocrystalline solar cells</t>
  </si>
  <si>
    <t xml:space="preserve"> Shenzhen Shine  Solar  Co., Ltd </t>
  </si>
  <si>
    <t>Battery</t>
  </si>
  <si>
    <t>12,000 mAh; 5V/1A 5V/2.1A</t>
  </si>
  <si>
    <t>Shenzhen Haizhi Trading Company Ltd.</t>
  </si>
  <si>
    <t>Alibaba Third-party Verification Service Provider, CE ROHS</t>
  </si>
  <si>
    <t>Bottom Support (stand)</t>
  </si>
  <si>
    <t>Leather</t>
  </si>
  <si>
    <t>  Nantong Yamei Plastics Co., Ltd  </t>
  </si>
  <si>
    <t>Back &amp; Middle Padding</t>
  </si>
  <si>
    <t xml:space="preserve">EVA Foam </t>
  </si>
  <si>
    <t>Shanghai Ruchen Industrial Co., Ltd.</t>
  </si>
  <si>
    <t xml:space="preserve">Cooling Material </t>
  </si>
  <si>
    <t>Hydraluxe Cooling / Padding</t>
  </si>
  <si>
    <t>Shenzhen Saien Gel Product Co., Ltd.</t>
  </si>
  <si>
    <t>CBI</t>
  </si>
  <si>
    <t>Strap Adjuster</t>
  </si>
  <si>
    <t>Metal</t>
  </si>
  <si>
    <t>Dongguan Kingming Hardware Plastic Technology Co., Ltd</t>
  </si>
  <si>
    <t>BV Certification</t>
  </si>
  <si>
    <t>Strap Adjusting Material</t>
  </si>
  <si>
    <t>Polypropylene Webbing</t>
  </si>
  <si>
    <t>Guangzhou Holywish Promo Gift Co., Ltd.</t>
  </si>
  <si>
    <t>Lining</t>
  </si>
  <si>
    <t>Ripstop Nylon</t>
  </si>
  <si>
    <t>Suzhou Eager Textile Co., Ltd</t>
  </si>
  <si>
    <t xml:space="preserve">Mesh </t>
  </si>
  <si>
    <t>Air Mesh</t>
  </si>
  <si>
    <t>Jinjiang Yuanhang Textile Development Company Limited</t>
  </si>
  <si>
    <t>Alibaba Sources Third Party Verification</t>
  </si>
  <si>
    <t>Binding Tape</t>
  </si>
  <si>
    <t>Nylon Binding Tape</t>
  </si>
  <si>
    <t>Kaiping Qifan Weaving Co., Ltd</t>
  </si>
  <si>
    <t>OEKO-TEX STANDARD 100, ISO9001:2000, REACH , ROSH</t>
  </si>
  <si>
    <t>Elastic for the Laptop Sleeve</t>
  </si>
  <si>
    <t>Elastic strip</t>
  </si>
  <si>
    <t>Suzhou Industry Distric Liufend Thread &amp; Ribbon Co., Ltd</t>
  </si>
  <si>
    <t>Assessment Report, Trim Supplier Qualification Program</t>
  </si>
  <si>
    <t>DM VARIABLE COST/UNIT</t>
  </si>
  <si>
    <t>YEAR 1</t>
  </si>
  <si>
    <t>Finished Goods units</t>
  </si>
  <si>
    <t>Inventory Investment</t>
  </si>
  <si>
    <t>Economic Order of Quantity</t>
  </si>
  <si>
    <t>Demand</t>
  </si>
  <si>
    <t>Cycle Stock</t>
  </si>
  <si>
    <t>Raw Materials</t>
  </si>
  <si>
    <t>Ordering Cost</t>
  </si>
  <si>
    <t>Annual Mean Demand</t>
  </si>
  <si>
    <t>Safety Stock</t>
  </si>
  <si>
    <t>WIP</t>
  </si>
  <si>
    <t>Holding Cost</t>
  </si>
  <si>
    <t>Worst Case Demand</t>
  </si>
  <si>
    <t>Pre-build Stock</t>
  </si>
  <si>
    <t>Finished Goods</t>
  </si>
  <si>
    <t>Mean Demand/Year</t>
  </si>
  <si>
    <t>Best Case Demand</t>
  </si>
  <si>
    <t>Total FG Units</t>
  </si>
  <si>
    <t>COGS / Unit</t>
  </si>
  <si>
    <t>Mean Demand</t>
  </si>
  <si>
    <t>Work in progress units</t>
  </si>
  <si>
    <t>Service Level</t>
  </si>
  <si>
    <t>Standard Deviation</t>
  </si>
  <si>
    <t>Revenue / Unit</t>
  </si>
  <si>
    <t>WIP Units</t>
  </si>
  <si>
    <t>Cost of Excess</t>
  </si>
  <si>
    <t>Mean Demand / Week</t>
  </si>
  <si>
    <t>Cost of Shortage</t>
  </si>
  <si>
    <t>Standard Deviation / Week</t>
  </si>
  <si>
    <t>Z value</t>
  </si>
  <si>
    <t>Items</t>
  </si>
  <si>
    <t xml:space="preserve">Material Cost Per Unit </t>
  </si>
  <si>
    <t>Units Need Per Product</t>
  </si>
  <si>
    <t>Total Order Cost</t>
  </si>
  <si>
    <t>Mean Material Demand/Week</t>
  </si>
  <si>
    <t>St. Deviation of Material Demand</t>
  </si>
  <si>
    <t>Average Lead time for Material</t>
  </si>
  <si>
    <t>Min Lead time for Material</t>
  </si>
  <si>
    <t>Max Lead time for Material</t>
  </si>
  <si>
    <t>Mean Lead time for Material</t>
  </si>
  <si>
    <t>St. Deviation of Lead time</t>
  </si>
  <si>
    <t>Average Transit Time</t>
  </si>
  <si>
    <t>EOQ</t>
  </si>
  <si>
    <t>In-transit stock</t>
  </si>
  <si>
    <t>Total Raw Materials</t>
  </si>
  <si>
    <t>Raw Materials Investment</t>
  </si>
  <si>
    <t>Quantity Per Shipment</t>
  </si>
  <si>
    <t>Number of Shipments / Year</t>
  </si>
  <si>
    <t>Exterior Fabric</t>
  </si>
  <si>
    <t>Back Padding</t>
  </si>
  <si>
    <t>YEAR 2 </t>
  </si>
  <si>
    <t>Finished goods</t>
  </si>
  <si>
    <t>Mean Demand/year</t>
  </si>
  <si>
    <t xml:space="preserve">Total: </t>
  </si>
  <si>
    <t> </t>
  </si>
  <si>
    <t>YEAR 2</t>
  </si>
  <si>
    <t>YEAR 3</t>
  </si>
  <si>
    <t>YEAR 4</t>
  </si>
  <si>
    <t>YEAR 5</t>
  </si>
  <si>
    <t>Crate Dimensions (in meters)</t>
  </si>
  <si>
    <t>Cost per Cubic Meter</t>
  </si>
  <si>
    <t>Height </t>
  </si>
  <si>
    <t>Full</t>
  </si>
  <si>
    <t>Otherwise</t>
  </si>
  <si>
    <t>Total Volume</t>
  </si>
  <si>
    <t>Yearly Cost</t>
  </si>
  <si>
    <t>Origin Location</t>
  </si>
  <si>
    <t>Number of Units Per Shipment</t>
  </si>
  <si>
    <t>Number of Planned Shipments in the Current Year</t>
  </si>
  <si>
    <t>Dimensions Per Piece (Meters Cubed)</t>
  </si>
  <si>
    <t>Dimensions of Order (Sq Meters)</t>
  </si>
  <si>
    <t>Total Cost of Transportation Per Order</t>
  </si>
  <si>
    <t>Total Cost Per Year</t>
  </si>
  <si>
    <t>Jiangsu, China</t>
  </si>
  <si>
    <t>Guangdong, China</t>
  </si>
  <si>
    <t>Zipper (multiple)</t>
  </si>
  <si>
    <t xml:space="preserve">Fujian, China </t>
  </si>
  <si>
    <t>Yinying (Fujian) Zipper Co., Ltd. </t>
  </si>
  <si>
    <t>Pennsylvania, USA</t>
  </si>
  <si>
    <t>Oldtrailfabric  </t>
  </si>
  <si>
    <t>Free Shipping</t>
  </si>
  <si>
    <t xml:space="preserve">Shenzhen, China </t>
  </si>
  <si>
    <t>Shenzhen Shine  Solar  Co., Ltd  </t>
  </si>
  <si>
    <t>Shenzhen Aosibaer Tech Co., Ltd.   </t>
  </si>
  <si>
    <t>China</t>
  </si>
  <si>
    <t>Nantong Yamei Plastics Co., Ltd   </t>
  </si>
  <si>
    <t>Shanghai, China</t>
  </si>
  <si>
    <t>Shanghai Ruchen Industrial Co., Ltd. </t>
  </si>
  <si>
    <t>Shenzhen Saien Gel Product Co., Ltd. </t>
  </si>
  <si>
    <t xml:space="preserve"> Dongguan Kingming Hardware Plastic Technology Co., Ltd</t>
  </si>
  <si>
    <t>Strap Adjusting material</t>
  </si>
  <si>
    <t>Guangzhou Holywish Promo Gift Co., Ltd.  </t>
  </si>
  <si>
    <t xml:space="preserve"> Suzhou Eager Textile Co., Ltd</t>
  </si>
  <si>
    <t>Changle City, China</t>
  </si>
  <si>
    <t>Fujian Province Changle City Dong Cheng Knittings Co., Ltd  </t>
  </si>
  <si>
    <t xml:space="preserve"> Kaiping Qifan Weaving Co., Ltd</t>
  </si>
  <si>
    <t>Elastic for the laptop sleeve</t>
  </si>
  <si>
    <t xml:space="preserve"> Suzhou Industry Distric Liufend Thread &amp; Ribbon Co., Ltd</t>
  </si>
  <si>
    <t xml:space="preserve"> Guangzhou Qiyuan Packing Material Co., Ltd. </t>
  </si>
  <si>
    <t>Yinying (Fujian) Zipper Co., Ltd.</t>
  </si>
  <si>
    <t>Shenzhen Saien Gel Product Co., Ltd.  </t>
  </si>
  <si>
    <t>Guangzhou Holywish Promo Gift Co., Ltd. </t>
  </si>
  <si>
    <t>Dimensions per Piece (Meters Cubed)</t>
  </si>
  <si>
    <t>Guangzhou Qiyuan Packing Material Co., Ltd. </t>
  </si>
  <si>
    <t>Wuxi Eternal Eagle Textile Co., Ltd.</t>
  </si>
  <si>
    <t>Compensation Year 0</t>
  </si>
  <si>
    <t>Position</t>
  </si>
  <si>
    <t>Compensation Type</t>
  </si>
  <si>
    <t>Number of Positions</t>
  </si>
  <si>
    <t>Annual Salary </t>
  </si>
  <si>
    <t>Fringe Benefits</t>
  </si>
  <si>
    <t xml:space="preserve">Total in Salaries </t>
  </si>
  <si>
    <t>CEO</t>
  </si>
  <si>
    <t>Salary</t>
  </si>
  <si>
    <t>CFO</t>
  </si>
  <si>
    <t>CMO</t>
  </si>
  <si>
    <t>COO</t>
  </si>
  <si>
    <t>HR Manager</t>
  </si>
  <si>
    <t>Marketing Analyst</t>
  </si>
  <si>
    <t>Operations Analyst</t>
  </si>
  <si>
    <t>Customer Service</t>
  </si>
  <si>
    <t>Hourly Wage</t>
  </si>
  <si>
    <t>Operators</t>
  </si>
  <si>
    <t>Shippers &amp; Packers</t>
  </si>
  <si>
    <t xml:space="preserve">Security Camera Monitor </t>
  </si>
  <si>
    <t>Contract</t>
  </si>
  <si>
    <t>Administrative Assistant</t>
  </si>
  <si>
    <t>Systems and Network Coordinator</t>
  </si>
  <si>
    <t>Accounting Clerk</t>
  </si>
  <si>
    <t>R&amp;D Professionals</t>
  </si>
  <si>
    <t>Business Development</t>
  </si>
  <si>
    <t>Sales Representative</t>
  </si>
  <si>
    <t>Commision</t>
  </si>
  <si>
    <t>Sales Manager</t>
  </si>
  <si>
    <t>Inventory Manager</t>
  </si>
  <si>
    <t>Total Compensation</t>
  </si>
  <si>
    <t>Direct Labor</t>
  </si>
  <si>
    <t>OH</t>
  </si>
  <si>
    <t>Administrative</t>
  </si>
  <si>
    <t>Compensation Year 1</t>
  </si>
  <si>
    <t>Compensation Year 2</t>
  </si>
  <si>
    <t>Compensation Year 3</t>
  </si>
  <si>
    <t>Compensation Year 4</t>
  </si>
  <si>
    <t>Compensation Year 5</t>
  </si>
  <si>
    <t xml:space="preserve">Compensation </t>
  </si>
  <si>
    <t>Salary Growth</t>
  </si>
  <si>
    <t xml:space="preserve">CEO </t>
  </si>
  <si>
    <t xml:space="preserve">COO </t>
  </si>
  <si>
    <t>Marketing Analyst / Operations Analyst</t>
  </si>
  <si>
    <t>Security Camera Monitor</t>
  </si>
  <si>
    <t>IS Coordinator</t>
  </si>
  <si>
    <t>Accounting Clerk  </t>
  </si>
  <si>
    <t xml:space="preserve">Business Development </t>
  </si>
  <si>
    <t>Operators Year 0 </t>
  </si>
  <si>
    <t>Months Needed</t>
  </si>
  <si>
    <t>Cost / Month</t>
  </si>
  <si>
    <t>Number Needed</t>
  </si>
  <si>
    <t> Cost Year 0 </t>
  </si>
  <si>
    <t>Months in Year</t>
  </si>
  <si>
    <t>Cost / Operator</t>
  </si>
  <si>
    <t>Name of Positions  </t>
  </si>
  <si>
    <t>Security Camera Mon.</t>
  </si>
  <si>
    <t>R&amp;D Professionals </t>
  </si>
  <si>
    <t>Administrative </t>
  </si>
  <si>
    <t>Months worked in Year 0</t>
  </si>
  <si>
    <t>Fringe Benefits %</t>
  </si>
  <si>
    <t>MK Manager Year 1</t>
  </si>
  <si>
    <t>METHOD 1</t>
  </si>
  <si>
    <t>State</t>
  </si>
  <si>
    <t>Latitude</t>
  </si>
  <si>
    <t>Longitude</t>
  </si>
  <si>
    <t>Minimum Wage</t>
  </si>
  <si>
    <t>WEIGHT</t>
  </si>
  <si>
    <t>Weighted Latitude</t>
  </si>
  <si>
    <t>Weighted Longitude</t>
  </si>
  <si>
    <t>Max Minimum Wage</t>
  </si>
  <si>
    <t>Alabama</t>
  </si>
  <si>
    <t>Min Minimum Wage</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</si>
  <si>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</si>
  <si>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</si>
  <si>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</si>
  <si>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</si>
  <si>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</si>
  <si>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</si>
  <si>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</si>
  <si>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</si>
  <si>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</si>
  <si>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</si>
  <si>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</si>
  <si>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</si>
  <si>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</si>
  <si>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</si>
  <si>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</si>
  <si>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</si>
  <si>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</si>
  <si>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</si>
  <si>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</si>
  <si>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</si>
  <si>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</si>
  <si>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</si>
  <si>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In Utah</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</si>
  <si>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</si>
  <si>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</si>
  <si>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</si>
  <si>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</si>
  <si>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</si>
  <si>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</si>
  <si>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</si>
  <si>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</si>
  <si>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</si>
  <si>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</si>
  <si>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</si>
  <si>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</si>
  <si>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</si>
  <si>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</si>
  <si>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</si>
  <si>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</si>
  <si>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</si>
  <si>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</si>
  <si>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</si>
  <si>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</si>
  <si>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</si>
  <si>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</si>
  <si>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</si>
  <si>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</si>
  <si>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</si>
  <si>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</si>
  <si>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</si>
  <si>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</si>
  <si>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However, the wage there is $7.70, which is not the lowest wage. So, we have to find a different location. It is alsi far away from SF port. </t>
  </si>
  <si>
    <t>Result:</t>
  </si>
  <si>
    <t>Conway, Missouri</t>
  </si>
  <si>
    <t>METHOD 2</t>
  </si>
  <si>
    <t>City</t>
  </si>
  <si>
    <t>Region</t>
  </si>
  <si>
    <t>Weight (# Parts)</t>
  </si>
  <si>
    <t>xi*Wi</t>
  </si>
  <si>
    <t>Yi*Wi</t>
  </si>
  <si>
    <t>Shamokin Dam</t>
  </si>
  <si>
    <t>East</t>
  </si>
  <si>
    <t>Old Trail Fabric.com</t>
  </si>
  <si>
    <t>San Francisco</t>
  </si>
  <si>
    <t>West</t>
  </si>
  <si>
    <t>Port in SF</t>
  </si>
  <si>
    <t>There are no warehouses available in this county. Thus, we had to find a different area in Califronia or somewhere close to California. </t>
  </si>
  <si>
    <t>Tuolumne County, California</t>
  </si>
  <si>
    <t>Averaged Location</t>
  </si>
  <si>
    <t>California's minimal wage is very high and since our production is labor intensive, we have to minimize our costs. Therefore, we moved our location to Utah, sicne the minimal rate there is $7.25. Colorado's min wage is $9.30, which is way higher than what we want. The closest state with the min wage of $7.25 is Utah; therefore, we're gonna use Utah as our resident state.</t>
  </si>
  <si>
    <t>Latitude:</t>
  </si>
  <si>
    <t>Longitude:</t>
  </si>
  <si>
    <t>Result: Rio Grande, Colorado</t>
  </si>
  <si>
    <t>Locations</t>
  </si>
  <si>
    <t>Year 0, 1, 2</t>
  </si>
  <si>
    <t>Year 3, 4, 5</t>
  </si>
  <si>
    <t>Address</t>
  </si>
  <si>
    <t>999 W 1500 S, Woods Cross, UT 84087</t>
  </si>
  <si>
    <t>1422-1462 S Redwood Rd, Salt Lake City, UT 84104</t>
  </si>
  <si>
    <t>Space Available (SF)</t>
  </si>
  <si>
    <t>Rate (SF/month)</t>
  </si>
  <si>
    <t>Amenities</t>
  </si>
  <si>
    <t>10'  x 10'  Office Space
(1) 12'  x 12'  Ramp Access Door
(1) 8'  x 9'  Dock High
(2) Restrooms (ADA Compliant)
 - Clearance Height 14' - 30'
 - Heavy Power Available
 - Rail Spur Available
 - CAMS:  $0.08
 - Easy Access to I-15, Hwy 89, Legacy Parkway and I-215
 - Woods Cross Warehouse with Fenced Yard</t>
  </si>
  <si>
    <t>Easy access to I-215, I-80, Hwy 201
1320 SF of nice office space/break room
Power = 480-277 Volt, 208-120
Ground level ramp access with 16' H x 20' W Door, 2 Dock Highs
2 Rail Spur Doors
Rail access available
Fire Sprinkled
Signage available on building</t>
  </si>
  <si>
    <t>Link</t>
  </si>
  <si>
    <t>http://att.my.loopnet.com/Listing/999-W-1500-S-Woods-Cross-UT/4123574/</t>
  </si>
  <si>
    <t>http://www.loopnet.com/Listing/1422-1462-S-Redwood-Rd-Salt-Lake-City-UT/5950386/</t>
  </si>
  <si>
    <t>Cost / Year</t>
  </si>
  <si>
    <t xml:space="preserve">Rent and Utilities Calculations </t>
  </si>
  <si>
    <t>MOH</t>
  </si>
  <si>
    <t>Rent </t>
  </si>
  <si>
    <t>Supervisor in Factory</t>
  </si>
  <si>
    <t>Water</t>
  </si>
  <si>
    <t>Electricity &amp; Gas</t>
  </si>
  <si>
    <t>Janitorial Services</t>
  </si>
  <si>
    <t>Total MOH / Year</t>
  </si>
  <si>
    <t>Total MOH / Month</t>
  </si>
  <si>
    <t>Cost Growth of Utilities</t>
  </si>
  <si>
    <t>Rent Calculation</t>
  </si>
  <si>
    <t>Price / SF / Month</t>
  </si>
  <si>
    <t>Square Feet</t>
  </si>
  <si>
    <t>Electricity &amp; Gas Calc</t>
  </si>
  <si>
    <t>Avg Spending / Month</t>
  </si>
  <si>
    <t>Our Adj</t>
  </si>
  <si>
    <t>Months in Use</t>
  </si>
  <si>
    <t>Total Elect &amp; Gas Exp</t>
  </si>
  <si>
    <t>Total Cost</t>
  </si>
  <si>
    <t>Demand Year 1</t>
  </si>
  <si>
    <t>Units Needed Year 1</t>
  </si>
  <si>
    <t>Scrap + Defect Rate</t>
  </si>
  <si>
    <t>Month 1</t>
  </si>
  <si>
    <t>Month 2</t>
  </si>
  <si>
    <t>Month 3</t>
  </si>
  <si>
    <t>Month 4</t>
  </si>
  <si>
    <t>Month 5</t>
  </si>
  <si>
    <t>Month 6</t>
  </si>
  <si>
    <t>Month 7</t>
  </si>
  <si>
    <t>Month 8</t>
  </si>
  <si>
    <t>Month 9</t>
  </si>
  <si>
    <t>Month 10</t>
  </si>
  <si>
    <t>Month 11</t>
  </si>
  <si>
    <t>Month 12</t>
  </si>
  <si>
    <t>Demand Year 2</t>
  </si>
  <si>
    <t>Units Needed Year 2</t>
  </si>
  <si>
    <t>Demand Year 3</t>
  </si>
  <si>
    <t>Units Needed Year 3</t>
  </si>
  <si>
    <t>Demand Year 4</t>
  </si>
  <si>
    <t>Units Needed Year 4</t>
  </si>
  <si>
    <t>Demand Year 5</t>
  </si>
  <si>
    <t>Units Needed Year 5</t>
  </si>
  <si>
    <t>Engineering Characteristics</t>
  </si>
  <si>
    <t>(+) Battery Output</t>
  </si>
  <si>
    <t>(-) Backpack Weight</t>
  </si>
  <si>
    <t xml:space="preserve">(+) Zipper Strength  </t>
  </si>
  <si>
    <t>(+)% of Water-resistant Materials</t>
  </si>
  <si>
    <t xml:space="preserve">(+ )Strap Material Strength </t>
  </si>
  <si>
    <t>Customer Attributes</t>
  </si>
  <si>
    <t>(+) Amount of Cooling Gel</t>
  </si>
  <si>
    <t xml:space="preserve">Long Battery Life </t>
  </si>
  <si>
    <t>++</t>
  </si>
  <si>
    <t>&lt;&lt;</t>
  </si>
  <si>
    <t>A</t>
  </si>
  <si>
    <t>Z</t>
  </si>
  <si>
    <t>B</t>
  </si>
  <si>
    <t>Fast Charging Speed</t>
  </si>
  <si>
    <t>AB</t>
  </si>
  <si>
    <t xml:space="preserve">Light Weight </t>
  </si>
  <si>
    <t>&lt;</t>
  </si>
  <si>
    <t xml:space="preserve">Multi-function </t>
  </si>
  <si>
    <t>+</t>
  </si>
  <si>
    <t>Small Battery Size</t>
  </si>
  <si>
    <t>Durable Zipper</t>
  </si>
  <si>
    <t>ABZ</t>
  </si>
  <si>
    <t>Water Resistance</t>
  </si>
  <si>
    <t>Sturdy Strap</t>
  </si>
  <si>
    <t xml:space="preserve"> Z</t>
  </si>
  <si>
    <t>Unit of measure</t>
  </si>
  <si>
    <t>kWh</t>
  </si>
  <si>
    <t>in</t>
  </si>
  <si>
    <t>lbs</t>
  </si>
  <si>
    <t>L</t>
  </si>
  <si>
    <t>Competitor A's value</t>
  </si>
  <si>
    <t>WR</t>
  </si>
  <si>
    <t>Competitor B's value</t>
  </si>
  <si>
    <t>WP</t>
  </si>
  <si>
    <t>Target value</t>
  </si>
  <si>
    <t xml:space="preserve">WS: Water Resistance </t>
  </si>
  <si>
    <t xml:space="preserve">Questions </t>
  </si>
  <si>
    <t>Battery  Life&amp;Capacity ——we cannot guarantee the battery life since people have different phones</t>
  </si>
  <si>
    <t>Material level (Rather than just put "material", we should add "strength","percentage", "tensity" to specify it, so everyone could understand exactly what we mean)</t>
  </si>
  <si>
    <t>Ask Prof. Meier about "school" backpack</t>
  </si>
  <si>
    <t>Make the attributes measurable, easy to compare to competitors (weight, capacity, size)</t>
  </si>
  <si>
    <t>e.g. BirkSun's solar panel has 3000 mAH, our no-name-backpack can generate energy more than 3000 mAH from solar panel and kinetic energy generator</t>
  </si>
  <si>
    <t>Use one machine instead of two separately --&gt; less costly, easier to design, lighter</t>
  </si>
  <si>
    <t>Inflation</t>
  </si>
  <si>
    <t>Piece</t>
  </si>
  <si>
    <t xml:space="preserve">Cost </t>
  </si>
  <si>
    <t>Amount Needed</t>
  </si>
  <si>
    <t>Amazon Basic</t>
  </si>
  <si>
    <t>Office Chairs</t>
  </si>
  <si>
    <t>Desks</t>
  </si>
  <si>
    <t>Ameriwood Home</t>
  </si>
  <si>
    <t>Lamp</t>
  </si>
  <si>
    <t>TaoTronics</t>
  </si>
  <si>
    <t>File Cabinet</t>
  </si>
  <si>
    <t>Symple Stuff</t>
  </si>
  <si>
    <t>Bookcase</t>
  </si>
  <si>
    <t>Sauder</t>
  </si>
  <si>
    <t>Paper Shredder</t>
  </si>
  <si>
    <t>Amazon Basics</t>
  </si>
  <si>
    <t>Refrigerator </t>
  </si>
  <si>
    <t>Searsoutlet</t>
  </si>
  <si>
    <t>Mini Fridge</t>
  </si>
  <si>
    <t>Sunbeam</t>
  </si>
  <si>
    <t>Microwave</t>
  </si>
  <si>
    <t>Walmart</t>
  </si>
  <si>
    <t>Caffeteria Tables</t>
  </si>
  <si>
    <t>Coffee Maker</t>
  </si>
  <si>
    <t>Amazon Keurig</t>
  </si>
  <si>
    <t>Water Dispenser</t>
  </si>
  <si>
    <t>Aquverse</t>
  </si>
  <si>
    <t>Water Service</t>
  </si>
  <si>
    <t>(Article) (per 25 people)</t>
  </si>
  <si>
    <t>Prices</t>
  </si>
  <si>
    <t>Hardware</t>
  </si>
  <si>
    <t>Desktop</t>
  </si>
  <si>
    <t>Photocopier</t>
  </si>
  <si>
    <t>High Speed Printer</t>
  </si>
  <si>
    <t>Laptops</t>
  </si>
  <si>
    <t>High End Networking Equipment</t>
  </si>
  <si>
    <t>Virtual Private Network</t>
  </si>
  <si>
    <t>Security Cameras</t>
  </si>
  <si>
    <t>LOREX by FLIR</t>
  </si>
  <si>
    <t>Software</t>
  </si>
  <si>
    <t>Firewall Security Software</t>
  </si>
  <si>
    <t>ERP upfront Cost</t>
  </si>
  <si>
    <t>ERP Yearly Cost Per Employee</t>
  </si>
  <si>
    <t>Shipper System Per Month</t>
  </si>
  <si>
    <t>ShipWorks</t>
  </si>
  <si>
    <t>Credit Card Processing Software</t>
  </si>
  <si>
    <t>PayPal</t>
  </si>
  <si>
    <t>Personal Producivity Software (Office)</t>
  </si>
  <si>
    <t>Microsoft Office 365</t>
  </si>
  <si>
    <t>Security Software</t>
  </si>
  <si>
    <t>Symantic Norton</t>
  </si>
  <si>
    <t>Cloud Storage</t>
  </si>
  <si>
    <t>Backup Software</t>
  </si>
  <si>
    <t>Acronis True Image</t>
  </si>
  <si>
    <t>Utility</t>
  </si>
  <si>
    <t>Phone Service</t>
  </si>
  <si>
    <t>AT&amp;T</t>
  </si>
  <si>
    <t>Huawei Mate 9</t>
  </si>
  <si>
    <t>Internet</t>
  </si>
  <si>
    <t>ComCast</t>
  </si>
  <si>
    <t>Website</t>
  </si>
  <si>
    <t>Development</t>
  </si>
  <si>
    <t>Number of</t>
  </si>
  <si>
    <t>ERP Upfront Cost</t>
  </si>
  <si>
    <t>Personal Productivity Software (Office)</t>
  </si>
  <si>
    <t xml:space="preserve">New </t>
  </si>
  <si>
    <t>Total Costs</t>
  </si>
  <si>
    <t>SEGMENT 1 SALES PROJECTION</t>
  </si>
  <si>
    <t>Target Market Size: Segment 1</t>
  </si>
  <si>
    <t xml:space="preserve">Retail Price  </t>
  </si>
  <si>
    <t xml:space="preserve">Adjusted Purchase Intent at RP  </t>
  </si>
  <si>
    <t xml:space="preserve">CSR Adjustment  </t>
  </si>
  <si>
    <t xml:space="preserve">Awareness  </t>
  </si>
  <si>
    <t xml:space="preserve">ACV (Distribution)  </t>
  </si>
  <si>
    <t>TOTAL TRIAL UNITS</t>
  </si>
  <si>
    <t xml:space="preserve">Repeat Units  </t>
  </si>
  <si>
    <t>BASES UNITS (No Competition)</t>
  </si>
  <si>
    <t xml:space="preserve">Competition Adjustment  </t>
  </si>
  <si>
    <t>TOTAL UNITS</t>
  </si>
  <si>
    <t xml:space="preserve">Avg. Weighted Manufacturer SP  </t>
  </si>
  <si>
    <t>MANFACTURER SALES: S.1 ($)</t>
  </si>
  <si>
    <t>SEGMENT 2 SALES PROJECTION</t>
  </si>
  <si>
    <t>Target Market Size: Segment 2</t>
  </si>
  <si>
    <t>MANFACTURER SALES: S.2 ($)</t>
  </si>
  <si>
    <t>COMBINED SALES PROJECTION</t>
  </si>
  <si>
    <t xml:space="preserve">Avg. Weighted Manufacturer SP </t>
  </si>
  <si>
    <t>TOTAL MANFACTURER SALES ($)</t>
  </si>
  <si>
    <t>AVERAGE MANUFACTURERS SELLING PRICE</t>
  </si>
  <si>
    <t>Manufacturer Sales</t>
  </si>
  <si>
    <t>% of MFC Units</t>
  </si>
  <si>
    <t>MFC SP</t>
  </si>
  <si>
    <t>Weighted MFC SP</t>
  </si>
  <si>
    <t>Retailer Margin</t>
  </si>
  <si>
    <t>Retail SP</t>
  </si>
  <si>
    <t>PRICE DIFFERENCES ACROSS RETAILERS</t>
  </si>
  <si>
    <t>Retailer Selling Price</t>
  </si>
  <si>
    <t>Retailer Margin ($)</t>
  </si>
  <si>
    <t>Retailer Margin (%)</t>
  </si>
  <si>
    <t>Broker Selling Price</t>
  </si>
  <si>
    <t>Broker Margin</t>
  </si>
  <si>
    <t>MFC Selling Price</t>
  </si>
  <si>
    <t>Independent Stores</t>
  </si>
  <si>
    <t>Units to Independent Retailers</t>
  </si>
  <si>
    <t xml:space="preserve">Year 1  </t>
  </si>
  <si>
    <t>Units to Own Website</t>
  </si>
  <si>
    <t xml:space="preserve">Year 2  </t>
  </si>
  <si>
    <t>Units to Online</t>
  </si>
  <si>
    <t xml:space="preserve">Year 3  </t>
  </si>
  <si>
    <t>Units to Chain Retailer</t>
  </si>
  <si>
    <t xml:space="preserve">Year 4  </t>
  </si>
  <si>
    <t>Units to Mass Merchants</t>
  </si>
  <si>
    <t xml:space="preserve">Year 5  </t>
  </si>
  <si>
    <t>AVERAGE WEIGHTED PRICES AND TOTALS</t>
  </si>
  <si>
    <t>Department (Nordstrom)</t>
  </si>
  <si>
    <t>Sporting Goods (Bass Pro)</t>
  </si>
  <si>
    <t>Warehouse (Sam's Club)</t>
  </si>
  <si>
    <t>Units to Department Store</t>
  </si>
  <si>
    <t>Mass Merchant (Target)</t>
  </si>
  <si>
    <t xml:space="preserve">Units to Sporting Goods Store  </t>
  </si>
  <si>
    <t>Units to Warehouse Store</t>
  </si>
  <si>
    <t>Online (Amzon)</t>
  </si>
  <si>
    <t>Online (Website)</t>
  </si>
  <si>
    <t>COMPETITION ADJUSTMENT</t>
  </si>
  <si>
    <t>Adjustment Percent</t>
  </si>
  <si>
    <t xml:space="preserve">Competitor Sales for Students  </t>
  </si>
  <si>
    <t>Student Adjustment</t>
  </si>
  <si>
    <t>Competitor Sales for White Collar</t>
  </si>
  <si>
    <t>White Collar Adjustment</t>
  </si>
  <si>
    <t xml:space="preserve">Competitor Sales  </t>
  </si>
  <si>
    <t>COMPETITOR ADJUSTMENT</t>
  </si>
  <si>
    <t>Purchase Intent Adjustment Calculations (NO CSR)</t>
  </si>
  <si>
    <t>CSR ADJ.</t>
  </si>
  <si>
    <t>Scholarship</t>
  </si>
  <si>
    <t>African Solar</t>
  </si>
  <si>
    <t>CSR Adj.</t>
  </si>
  <si>
    <t>Retail Selling Price</t>
  </si>
  <si>
    <t xml:space="preserve"> Students  </t>
  </si>
  <si>
    <t>Segment Size: Students</t>
  </si>
  <si>
    <t xml:space="preserve"> White Collar  </t>
  </si>
  <si>
    <t>Definitely Buy %</t>
  </si>
  <si>
    <t>Definitely Buy Adjustment</t>
  </si>
  <si>
    <t>CSR PLAN 1</t>
  </si>
  <si>
    <t>Probably Buy %</t>
  </si>
  <si>
    <t>Student</t>
  </si>
  <si>
    <t>Probably Buy Adjustment</t>
  </si>
  <si>
    <t>Students</t>
  </si>
  <si>
    <t>Count of if the company selling this product were to donate a portion of its profit to provide solar panel...</t>
  </si>
  <si>
    <t>Working Professionals</t>
  </si>
  <si>
    <t xml:space="preserve">Price Change: Demand Curve Adustment  </t>
  </si>
  <si>
    <t>Column Labels</t>
  </si>
  <si>
    <t>S.1 Adjusted Purchase Intent</t>
  </si>
  <si>
    <t>Row Labels</t>
  </si>
  <si>
    <t>Definitely Not</t>
  </si>
  <si>
    <t>Probably Not</t>
  </si>
  <si>
    <t>Not Sure</t>
  </si>
  <si>
    <t>Probably Buy</t>
  </si>
  <si>
    <t>Definitely Buy</t>
  </si>
  <si>
    <t>Grand Total</t>
  </si>
  <si>
    <t># of Responses</t>
  </si>
  <si>
    <t>% of All Responses</t>
  </si>
  <si>
    <t>CSR Increase</t>
  </si>
  <si>
    <t>Segment Size: White Collar</t>
  </si>
  <si>
    <t>CSR Def. Increase</t>
  </si>
  <si>
    <t>CSR Prob. Increase</t>
  </si>
  <si>
    <t>CSR No Increase</t>
  </si>
  <si>
    <t>S.2 Adjusted Purchase Intent</t>
  </si>
  <si>
    <t>TOTAL ADJ. PURCHASE INTENT</t>
  </si>
  <si>
    <t>PURCHASE INTENT CALCULATIONS</t>
  </si>
  <si>
    <t>NO CSR</t>
  </si>
  <si>
    <t>Purchase Intent vs. Expected Price (Students)</t>
  </si>
  <si>
    <t>Price</t>
  </si>
  <si>
    <t>CSR PLAN 2</t>
  </si>
  <si>
    <t>Count of if the company selling this product were to donate 2.5% of its profit to provide scholarships to...</t>
  </si>
  <si>
    <t>Sample</t>
  </si>
  <si>
    <t>Population</t>
  </si>
  <si>
    <t>Adjusted PB</t>
  </si>
  <si>
    <t>Adjusted DB</t>
  </si>
  <si>
    <t>PB * .3</t>
  </si>
  <si>
    <t>DB * .8</t>
  </si>
  <si>
    <t>Sum Across</t>
  </si>
  <si>
    <t>Cumulative PI</t>
  </si>
  <si>
    <t>Quantity</t>
  </si>
  <si>
    <t>Revenue</t>
  </si>
  <si>
    <t>Purchase Intent vs. Expected Price (White Collar)</t>
  </si>
  <si>
    <t>demand curve</t>
  </si>
  <si>
    <t>Channel Conflict Adj. Assumption</t>
  </si>
  <si>
    <t>Sales Force Cost</t>
  </si>
  <si>
    <t>Switching Point Calculation</t>
  </si>
  <si>
    <t>Retailer Acceptance Assumption  </t>
  </si>
  <si>
    <t>Year</t>
  </si>
  <si>
    <t>Volume (Units) of Sales Revenue</t>
  </si>
  <si>
    <t>Sales Revenue ($)</t>
  </si>
  <si>
    <t>Salesperson Type</t>
  </si>
  <si>
    <t>Sales Earnings (Commission)</t>
  </si>
  <si>
    <t>Yearly Salary</t>
  </si>
  <si>
    <t>Related Expenses</t>
  </si>
  <si>
    <t>Cost per Unit Sold</t>
  </si>
  <si>
    <t>Cost per Salesperson</t>
  </si>
  <si>
    <t>Fixed Salary Spending</t>
  </si>
  <si>
    <t>ACV SCHEDULE</t>
  </si>
  <si>
    <t>Manufacturer's Rep</t>
  </si>
  <si>
    <t>Internal Commission %</t>
  </si>
  <si>
    <t>Own Salesperson</t>
  </si>
  <si>
    <t>MFC Rep Commission %</t>
  </si>
  <si>
    <t>Independent</t>
  </si>
  <si>
    <t>Salary Yearly Growth</t>
  </si>
  <si>
    <t xml:space="preserve">Channel Conflict Adj. </t>
  </si>
  <si>
    <t>Equation</t>
  </si>
  <si>
    <t>{($75,000) + (2%)(X)} = {(10%)(X)}</t>
  </si>
  <si>
    <t>Mass Merchandiser: Target</t>
  </si>
  <si>
    <t>Optimal Switching Point Sales Revenue</t>
  </si>
  <si>
    <t>Department Store: Nordstrom</t>
  </si>
  <si>
    <t>Outdoor Apparel: Bass Pro</t>
  </si>
  <si>
    <t>Warehouse Club: Sam's Club</t>
  </si>
  <si>
    <t>TOTAL ACV</t>
  </si>
  <si>
    <t>Retail Environment</t>
  </si>
  <si>
    <t xml:space="preserve">Retail Sales </t>
  </si>
  <si>
    <t>Backpack % of Total Retail Sales</t>
  </si>
  <si>
    <t>% of Sales by Category</t>
  </si>
  <si>
    <t>Required Salespeople Calculation</t>
  </si>
  <si>
    <t>Independant Stores</t>
  </si>
  <si>
    <t>Retailer Type</t>
  </si>
  <si>
    <t># of HQ Locations</t>
  </si>
  <si>
    <t>HQ Visits per Year</t>
  </si>
  <si>
    <t xml:space="preserve">HQ Visit Length </t>
  </si>
  <si>
    <t>Number of Stores</t>
  </si>
  <si>
    <t>Store Visits per Year</t>
  </si>
  <si>
    <t xml:space="preserve">Length of Store Visit </t>
  </si>
  <si>
    <t>Total Selling Hours</t>
  </si>
  <si>
    <t>Sales Hours (1 Person)</t>
  </si>
  <si>
    <t>Salespeople Needed</t>
  </si>
  <si>
    <t>Salespeople Needed (Rounded)</t>
  </si>
  <si>
    <t>Bodega</t>
  </si>
  <si>
    <t>Department Stores: Nordstrom</t>
  </si>
  <si>
    <t>Luggage Factory</t>
  </si>
  <si>
    <t>Sporting Goods Stores: Bass Pro Shop</t>
  </si>
  <si>
    <t>Mass Merchandisers</t>
  </si>
  <si>
    <t>Warehouses: Sam's Club</t>
  </si>
  <si>
    <t>TOTAL</t>
  </si>
  <si>
    <t>Kmart (Sears)</t>
  </si>
  <si>
    <t>Department Stores</t>
  </si>
  <si>
    <t>Macy's</t>
  </si>
  <si>
    <t>Mass Merchants: Target</t>
  </si>
  <si>
    <t>Nordstrom</t>
  </si>
  <si>
    <t>Kohls</t>
  </si>
  <si>
    <t>Outdoor Apparel</t>
  </si>
  <si>
    <t>Bass Pro Shop</t>
  </si>
  <si>
    <t>AcademySport+Outdoor</t>
  </si>
  <si>
    <t>Dick Sporting Goods</t>
  </si>
  <si>
    <t>Warehouse Clubs</t>
  </si>
  <si>
    <t>Costco</t>
  </si>
  <si>
    <t>Sam's Club</t>
  </si>
  <si>
    <t>Amazon</t>
  </si>
  <si>
    <t>EBags</t>
  </si>
  <si>
    <t>ASSUMPTIONS &amp; CALCULATIONS</t>
  </si>
  <si>
    <t>Non-Adj Retail Sales</t>
  </si>
  <si>
    <t>Adjusted Retail Sales</t>
  </si>
  <si>
    <t>Discount Stores</t>
  </si>
  <si>
    <t>Warehouse Club</t>
  </si>
  <si>
    <t xml:space="preserve">% People Buying </t>
  </si>
  <si>
    <t>Old</t>
  </si>
  <si>
    <t>New</t>
  </si>
  <si>
    <t>Diff</t>
  </si>
  <si>
    <t>Add to Each</t>
  </si>
  <si>
    <t>Target Size: Segment 1 = 8,060,000</t>
  </si>
  <si>
    <t>Target Size: Segment 1 = 8,449,644</t>
  </si>
  <si>
    <t>Target Size: Segment 2 = 12,020,000</t>
  </si>
  <si>
    <t>Target Size: Segment 2 = 12,574,954</t>
  </si>
  <si>
    <t>Year 1 IMC Schedule</t>
  </si>
  <si>
    <t>Feburary</t>
  </si>
  <si>
    <t>CPM</t>
  </si>
  <si>
    <t>Awareness TM1</t>
  </si>
  <si>
    <t>Awareness TM2</t>
  </si>
  <si>
    <t>Year 2 IMC Schedule</t>
  </si>
  <si>
    <t>Pull</t>
  </si>
  <si>
    <t>Fairs/Events                        (Representative Sample Listed)</t>
  </si>
  <si>
    <t>Solar Energy: Disrupt MIAMI@Downtown</t>
  </si>
  <si>
    <t>Business Expo 2017 - New York</t>
  </si>
  <si>
    <t>Solar Business Festival 2017: Conference and Exhibition - Austin</t>
  </si>
  <si>
    <t>Solar Fest 2017 - San Antonio</t>
  </si>
  <si>
    <t>4th International Conference on Green Energy &amp; Expo - Las Vegas</t>
  </si>
  <si>
    <t>2018 AEE Solar Dealer Conference - San Diego</t>
  </si>
  <si>
    <t>San Diego Solar Expo</t>
  </si>
  <si>
    <t>Outdoor Billboards</t>
  </si>
  <si>
    <r>
      <rPr>
        <b/>
        <u/>
        <sz val="12"/>
        <rFont val="Times New Roman"/>
        <family val="1"/>
      </rPr>
      <t>Targeted Locations in Cities</t>
    </r>
    <r>
      <rPr>
        <b/>
        <sz val="12"/>
        <rFont val="Times New Roman"/>
        <family val="1"/>
      </rPr>
      <t xml:space="preserve">                   U </t>
    </r>
    <r>
      <rPr>
        <sz val="12"/>
        <color theme="1"/>
        <rFont val="Times New Roman"/>
        <family val="1"/>
      </rPr>
      <t xml:space="preserve">- University; </t>
    </r>
    <r>
      <rPr>
        <b/>
        <sz val="12"/>
        <rFont val="Times New Roman"/>
        <family val="1"/>
      </rPr>
      <t>FD</t>
    </r>
    <r>
      <rPr>
        <sz val="12"/>
        <color theme="1"/>
        <rFont val="Times New Roman"/>
        <family val="1"/>
      </rPr>
      <t xml:space="preserve"> - Financial District;     </t>
    </r>
    <r>
      <rPr>
        <b/>
        <sz val="12"/>
        <rFont val="Times New Roman"/>
        <family val="1"/>
      </rPr>
      <t>M</t>
    </r>
    <r>
      <rPr>
        <sz val="12"/>
        <color theme="1"/>
        <rFont val="Times New Roman"/>
        <family val="1"/>
      </rPr>
      <t xml:space="preserve"> - Mall; </t>
    </r>
    <r>
      <rPr>
        <b/>
        <sz val="12"/>
        <rFont val="Times New Roman"/>
        <family val="1"/>
      </rPr>
      <t xml:space="preserve">S </t>
    </r>
    <r>
      <rPr>
        <sz val="12"/>
        <color theme="1"/>
        <rFont val="Times New Roman"/>
        <family val="1"/>
      </rPr>
      <t>- Subway</t>
    </r>
  </si>
  <si>
    <t>Phoenix, AZ (750)</t>
  </si>
  <si>
    <t>U + S</t>
  </si>
  <si>
    <t>FD</t>
  </si>
  <si>
    <t>U + M</t>
  </si>
  <si>
    <t>M +FD + S</t>
  </si>
  <si>
    <t>Los Angeles, CA (650)</t>
  </si>
  <si>
    <t>S</t>
  </si>
  <si>
    <t>U + FD</t>
  </si>
  <si>
    <t>San Diego, CA (650)</t>
  </si>
  <si>
    <t>Miami, FL (600)</t>
  </si>
  <si>
    <t>M</t>
  </si>
  <si>
    <t>U</t>
  </si>
  <si>
    <t>Chicago, IL (700)</t>
  </si>
  <si>
    <t>Boston, MA (1000)</t>
  </si>
  <si>
    <t xml:space="preserve">U </t>
  </si>
  <si>
    <t>New York City, NY（1200)</t>
  </si>
  <si>
    <t>Las Vegas, NV（750)</t>
  </si>
  <si>
    <t>Austin,TX (650)</t>
  </si>
  <si>
    <t>Houston,TX (700)</t>
  </si>
  <si>
    <t>PR Magazine and Blogs</t>
  </si>
  <si>
    <t>Magazine: NYTimes, Magazine of NYU, Magazine of USC, Magazine of University of Arizona, Magazine of Texas Southern University</t>
  </si>
  <si>
    <t>Blog: Corporette, The Penny Holder, Buzzfeed, WSO, Life @ Work, All Things Workplace, The Healthy Hangover, College Tourist, Student.com</t>
  </si>
  <si>
    <t>Radio: NPR</t>
  </si>
  <si>
    <t>Own Website</t>
  </si>
  <si>
    <t>Word of Mouth</t>
  </si>
  <si>
    <t>TOTAL PULL</t>
  </si>
  <si>
    <t>Carry-over</t>
  </si>
  <si>
    <t>Push</t>
  </si>
  <si>
    <t>Trade Shows</t>
  </si>
  <si>
    <t>NRF Trade Show</t>
  </si>
  <si>
    <t>ASD Marketweek</t>
  </si>
  <si>
    <t>Trade Magazine Ads</t>
  </si>
  <si>
    <t>Trade Show Executive</t>
  </si>
  <si>
    <t>TOTAL PUSH</t>
  </si>
  <si>
    <t>TOTAL IMC SCHEDULE</t>
  </si>
  <si>
    <t>Target Size: Segment 1 = 8,854,647</t>
  </si>
  <si>
    <t>Target Size: Segment 1 = 9,273,508</t>
  </si>
  <si>
    <t>Target Size: Segment 2 = 13,157,656</t>
  </si>
  <si>
    <t>Target Size: Segment 2 = 13,756,434</t>
  </si>
  <si>
    <t>Year 3 IMC Schedule</t>
  </si>
  <si>
    <t>Year 4 IMC Schedule</t>
  </si>
  <si>
    <t xml:space="preserve">Magazine Ads </t>
  </si>
  <si>
    <t>Kiplinger Personal Finance</t>
  </si>
  <si>
    <t>New York Times</t>
  </si>
  <si>
    <t>LA Times</t>
  </si>
  <si>
    <r>
      <t>Fairs/Events                     (</t>
    </r>
    <r>
      <rPr>
        <i/>
        <sz val="12"/>
        <rFont val="Times New Roman"/>
        <family val="1"/>
      </rPr>
      <t>Representative Sample Listed</t>
    </r>
    <r>
      <rPr>
        <sz val="12"/>
        <color theme="1"/>
        <rFont val="Times New Roman"/>
        <family val="1"/>
      </rPr>
      <t>)</t>
    </r>
  </si>
  <si>
    <t>Business Expo 2020 - New York</t>
  </si>
  <si>
    <t>Solar Fest 2020 - San Antonio</t>
  </si>
  <si>
    <t>2018 AEE Solar Dealer Conference - LA</t>
  </si>
  <si>
    <t>Phoenix, AZ(750)</t>
  </si>
  <si>
    <t>San Diego, CA(650)</t>
  </si>
  <si>
    <t>Chicago, IL（700)</t>
  </si>
  <si>
    <t>Boston, MA(1000)</t>
  </si>
  <si>
    <t>Austin,TX</t>
  </si>
  <si>
    <t>Houston,TX</t>
  </si>
  <si>
    <t>Blog: Corporette, The Penny Holder, Buzzfeed, WSO, Life @ Work, All Things Workplace, The Healthy Hungover, College Tourist, Student.com</t>
  </si>
  <si>
    <t xml:space="preserve">Outdoor Retailer Summer Market </t>
  </si>
  <si>
    <t>Outdoor Retailer Summer Market </t>
  </si>
  <si>
    <t>Target Size: Segment 1 = 9,700,871</t>
  </si>
  <si>
    <t>Target Size: Segment 2 = 14,361,567</t>
  </si>
  <si>
    <t>Year 5 IMC Schedule</t>
  </si>
  <si>
    <t>Phoenix, AZ</t>
  </si>
  <si>
    <t>Los Angeles, CA</t>
  </si>
  <si>
    <t>San Diego, CA</t>
  </si>
  <si>
    <t>Miami, FL</t>
  </si>
  <si>
    <t>Chicago, IL</t>
  </si>
  <si>
    <t>Boston, MA</t>
  </si>
  <si>
    <t>Las Vegas, NV</t>
  </si>
  <si>
    <t>New York City, NY</t>
  </si>
  <si>
    <t>TARGET MARKET ADJUSTMENT</t>
  </si>
  <si>
    <t>Segment 1（Students）</t>
  </si>
  <si>
    <t>Growth Rate</t>
  </si>
  <si>
    <t>Sales Made</t>
  </si>
  <si>
    <t>Size Adjustment</t>
  </si>
  <si>
    <t>Segment 2（White Collars）</t>
  </si>
  <si>
    <t>FAIRS AND EVENTS</t>
  </si>
  <si>
    <t>Fairs and Events Costs</t>
  </si>
  <si>
    <t>Cost Type</t>
  </si>
  <si>
    <t>Travel: 1 Employee</t>
  </si>
  <si>
    <t>Salary: 2 Booth Workers</t>
  </si>
  <si>
    <t xml:space="preserve">Exhibit </t>
  </si>
  <si>
    <t xml:space="preserve">Giveaway </t>
  </si>
  <si>
    <t xml:space="preserve">Decorations </t>
  </si>
  <si>
    <t>Shipping Material</t>
  </si>
  <si>
    <t>Total Event Cost</t>
  </si>
  <si>
    <t>Cost Reference Assumptions (Applied to All)</t>
  </si>
  <si>
    <t>Airfare Ticket</t>
  </si>
  <si>
    <t>Hotel</t>
  </si>
  <si>
    <t>Solar Business Festival: Conference/Exhibition - Austin</t>
  </si>
  <si>
    <t>Food and other</t>
  </si>
  <si>
    <t>Hours per Event</t>
  </si>
  <si>
    <t>International Conference on Green Energy:Expo - Las Vegas</t>
  </si>
  <si>
    <t>Days per Event</t>
  </si>
  <si>
    <t>Employees per Event</t>
  </si>
  <si>
    <t>Hour Rate</t>
  </si>
  <si>
    <t>Training Cost</t>
  </si>
  <si>
    <t>FAIR &amp; EVENT AWARENESS</t>
  </si>
  <si>
    <t>White Collar</t>
  </si>
  <si>
    <t>Segment Size</t>
  </si>
  <si>
    <t>Awareness Adjustment</t>
  </si>
  <si>
    <t>TOTAL AWARENESS</t>
  </si>
  <si>
    <t>MAGAZINES</t>
  </si>
  <si>
    <t>Active Adj</t>
  </si>
  <si>
    <t>Solar Friendly Adj</t>
  </si>
  <si>
    <t>Total Adj for Act + Solar</t>
  </si>
  <si>
    <t>Ad Type</t>
  </si>
  <si>
    <t>Impact Adjustment</t>
  </si>
  <si>
    <t>Circulation</t>
  </si>
  <si>
    <t xml:space="preserve">Adjustment </t>
  </si>
  <si>
    <t xml:space="preserve">TARGET CIRCULATION </t>
  </si>
  <si>
    <t>Adjustment</t>
  </si>
  <si>
    <t>TARGET CIRCULATION</t>
  </si>
  <si>
    <t># of Ads</t>
  </si>
  <si>
    <t>Student Impressons </t>
  </si>
  <si>
    <t xml:space="preserve">White Collar Impressions </t>
  </si>
  <si>
    <t>Adjustment Calculation Table</t>
  </si>
  <si>
    <t>Student Circulation</t>
  </si>
  <si>
    <t>Adj for Activity and Solar Friendly</t>
  </si>
  <si>
    <t>Adjustment for Target Circulation</t>
  </si>
  <si>
    <t>White Collar Circulation</t>
  </si>
  <si>
    <t>Adj for Target Circulation</t>
  </si>
  <si>
    <t>Full Page Color</t>
  </si>
  <si>
    <t xml:space="preserve">Kiplinger </t>
  </si>
  <si>
    <t>NY Times</t>
  </si>
  <si>
    <t>1 Column, Photo</t>
  </si>
  <si>
    <t>TOTALS</t>
  </si>
  <si>
    <t>MAGAZINE AWARENESS</t>
  </si>
  <si>
    <t>Kipplinger</t>
  </si>
  <si>
    <t>BILLBOARDS</t>
  </si>
  <si>
    <t xml:space="preserve">Outdoor Billboards </t>
  </si>
  <si>
    <t>Target Citites</t>
  </si>
  <si>
    <t>Phoenix,AZ</t>
  </si>
  <si>
    <t>San Diego,CA</t>
  </si>
  <si>
    <t>Miami,FL</t>
  </si>
  <si>
    <t>New York, NY</t>
  </si>
  <si>
    <t>LV (year 4-5)</t>
  </si>
  <si>
    <t>Austin (year 4-5)</t>
  </si>
  <si>
    <t>Houston, TX</t>
  </si>
  <si>
    <t>Subway Poster Cost</t>
  </si>
  <si>
    <t>School Poster Cost</t>
  </si>
  <si>
    <t>Financial District Poster Cost</t>
  </si>
  <si>
    <t>Target Shopping Mall</t>
  </si>
  <si>
    <t>Paradise Valley Mall</t>
  </si>
  <si>
    <t>Westside Pavilion</t>
  </si>
  <si>
    <t>Fashion Valley</t>
  </si>
  <si>
    <t>Bayside Marketplace</t>
  </si>
  <si>
    <t>Water Tower Place</t>
  </si>
  <si>
    <t>CambridgeSide Mall</t>
  </si>
  <si>
    <t>Manhattan Mall</t>
  </si>
  <si>
    <t>Fasion Show Mall</t>
  </si>
  <si>
    <t>Hancock Center</t>
  </si>
  <si>
    <t>The Galleria</t>
  </si>
  <si>
    <t>Shopping Mall Cost</t>
  </si>
  <si>
    <t>TOTAL COST/CITY</t>
  </si>
  <si>
    <t>Years 1-3</t>
  </si>
  <si>
    <t>Year 4-5</t>
  </si>
  <si>
    <t>TOTAL BILLBOARD COST</t>
  </si>
  <si>
    <t>BILLBOARD AWARENESS</t>
  </si>
  <si>
    <t>adjustment for student</t>
  </si>
  <si>
    <t>adjustment for working professionals</t>
  </si>
  <si>
    <t xml:space="preserve">Awareness Adj Assumption  </t>
  </si>
  <si>
    <t>Pheonix, AZ</t>
  </si>
  <si>
    <t>Austin, TX</t>
  </si>
  <si>
    <t>RADIO</t>
  </si>
  <si>
    <t>Total Circulation</t>
  </si>
  <si>
    <t>% in Target Market</t>
  </si>
  <si>
    <t xml:space="preserve"> Impressions</t>
  </si>
  <si>
    <t>Adjustments</t>
  </si>
  <si>
    <t>Total Radio</t>
  </si>
  <si>
    <t>Radio Circulation Calculation</t>
  </si>
  <si>
    <t>1-Day Total Cost (5AM-Midnight)</t>
  </si>
  <si>
    <t>Cost Month 1</t>
  </si>
  <si>
    <t>Cost Month 2</t>
  </si>
  <si>
    <r>
      <t xml:space="preserve">Selected Time Slot Cost </t>
    </r>
    <r>
      <rPr>
        <i/>
        <sz val="12"/>
        <rFont val="Times New Roman"/>
        <family val="1"/>
      </rPr>
      <t>(3-8PM)</t>
    </r>
  </si>
  <si>
    <t>Adjustment for Circulation</t>
  </si>
  <si>
    <t>TOTAL COST</t>
  </si>
  <si>
    <t>Spot in Seconds</t>
  </si>
  <si>
    <t># of Ads Annually</t>
  </si>
  <si>
    <t xml:space="preserve">Total Annual Aired Seconds </t>
  </si>
  <si>
    <t>Total Annual Minutes Aired</t>
  </si>
  <si>
    <t>RADIO AWARENESS</t>
  </si>
  <si>
    <t xml:space="preserve">Target Market Adj Assumption </t>
  </si>
  <si>
    <t>Target Circulation </t>
  </si>
  <si>
    <t xml:space="preserve">Impressions </t>
  </si>
  <si>
    <t>Website Aspects</t>
  </si>
  <si>
    <t>ONLINE BUDGET</t>
  </si>
  <si>
    <t xml:space="preserve">Setup </t>
  </si>
  <si>
    <t>Budget</t>
  </si>
  <si>
    <t>Upkeep/Maintanance</t>
  </si>
  <si>
    <t>Individuals Generating Buzz</t>
  </si>
  <si>
    <t>Aware People per User</t>
  </si>
  <si>
    <t>Target Size: Segment 1</t>
  </si>
  <si>
    <t>Target Size: Segment 2</t>
  </si>
  <si>
    <t>WOM Segment1</t>
  </si>
  <si>
    <t>WOM Segment2</t>
  </si>
  <si>
    <t>Awareness: TM 1</t>
  </si>
  <si>
    <t>Awareness: TM 2</t>
  </si>
  <si>
    <t>Unit Sales in Year-1 for Segment1</t>
  </si>
  <si>
    <t>Unit Sales in Year-1 for Segment2</t>
  </si>
  <si>
    <t>Carryover Awareness</t>
  </si>
  <si>
    <t xml:space="preserve">Percent Carried  </t>
  </si>
  <si>
    <t>Color Key</t>
  </si>
  <si>
    <t>Base Case</t>
  </si>
  <si>
    <t>MK</t>
  </si>
  <si>
    <t>OM</t>
  </si>
  <si>
    <t>(In US Dollars)</t>
  </si>
  <si>
    <t>Start-Up</t>
  </si>
  <si>
    <t>FE</t>
  </si>
  <si>
    <t>Initial Start-Up Costs (Year 0)</t>
  </si>
  <si>
    <t>Initial Investment in Fixed Assets</t>
  </si>
  <si>
    <t>Balance Sheet Items (Can be Depreciated)</t>
  </si>
  <si>
    <t>Inital Working Capital</t>
  </si>
  <si>
    <t>Cash (Required Above Start-Up Cost)</t>
  </si>
  <si>
    <t>Inital Operating Expenses (Tax Deductable)</t>
  </si>
  <si>
    <t>Product Development (Prototype, Engineer, Etc.)</t>
  </si>
  <si>
    <t>Pre-Marketing Expenses (Before Year 1)</t>
  </si>
  <si>
    <t>Set-Up of Factory and First Items</t>
  </si>
  <si>
    <t>Start-Up IS Cost</t>
  </si>
  <si>
    <t>First Production Cost</t>
  </si>
  <si>
    <t xml:space="preserve">All Other </t>
  </si>
  <si>
    <t>Total Initial Operating Expenses</t>
  </si>
  <si>
    <t>Operating Information (Year 1-5)</t>
  </si>
  <si>
    <t>Units Sold</t>
  </si>
  <si>
    <t>Units into Independent Retailers</t>
  </si>
  <si>
    <t>Units Own Website</t>
  </si>
  <si>
    <t>Units Online</t>
  </si>
  <si>
    <t>Units into Mass Merchandisers</t>
  </si>
  <si>
    <t>Units into Department Stores</t>
  </si>
  <si>
    <t>Units into Outdoor Stores</t>
  </si>
  <si>
    <t>Units into Warehouse Clubs</t>
  </si>
  <si>
    <t>Total Units Sold</t>
  </si>
  <si>
    <t>Manufacture Selling Price</t>
  </si>
  <si>
    <t>To Independent Retailers</t>
  </si>
  <si>
    <t>For Online Sales</t>
  </si>
  <si>
    <t>To Mass Merchandisers</t>
  </si>
  <si>
    <t>-</t>
  </si>
  <si>
    <t>To Department Stores</t>
  </si>
  <si>
    <t>To Outdoor Stores</t>
  </si>
  <si>
    <t>To Warehouse Clubs</t>
  </si>
  <si>
    <t>Average Weighted Manufacturer's Selling Price to Channel</t>
  </si>
  <si>
    <t>Cost of Goods Sold</t>
  </si>
  <si>
    <t>Direct Material Per Unit</t>
  </si>
  <si>
    <t>DM % of COGS</t>
  </si>
  <si>
    <t>Direct Labor Per Unit</t>
  </si>
  <si>
    <t>DL % of COGS</t>
  </si>
  <si>
    <t>Total Variable Cost Per Unit</t>
  </si>
  <si>
    <t>MOH % of COGS</t>
  </si>
  <si>
    <t>Total Variable Cost</t>
  </si>
  <si>
    <t>Fixed Production Cost</t>
  </si>
  <si>
    <t>Total Cost of Goods Sold</t>
  </si>
  <si>
    <t>Selling &amp; General Administative Expenses</t>
  </si>
  <si>
    <t>As % of SG&amp;A</t>
  </si>
  <si>
    <t>Other Operating Expenses</t>
  </si>
  <si>
    <t>OOE</t>
  </si>
  <si>
    <t>Production Costs not included in COGS</t>
  </si>
  <si>
    <t>Prod. Cost not in COGS</t>
  </si>
  <si>
    <t>Fixed Administrative Costs</t>
  </si>
  <si>
    <t>Fixed Admin</t>
  </si>
  <si>
    <t>Marketing Expenses excl. Sales Force and Manu. Reps</t>
  </si>
  <si>
    <t>Marketing Expenses</t>
  </si>
  <si>
    <t>Sales Force Expense (Excluding Manufacturer's Reps Commission)</t>
  </si>
  <si>
    <t>Sales Force Expense</t>
  </si>
  <si>
    <t>Maunfacturer's Sales Reps Commission Expense (10%)</t>
  </si>
  <si>
    <t>Manuf. Rep. Expense</t>
  </si>
  <si>
    <t>IS Expenses</t>
  </si>
  <si>
    <t>Total SG&amp;A</t>
  </si>
  <si>
    <t>Balance Sheet Information (Year 1-5)</t>
  </si>
  <si>
    <t>Accounts Receivable (% of Sales)</t>
  </si>
  <si>
    <t>Accounts Payable (% of Sales)</t>
  </si>
  <si>
    <t>Raw Material &amp; WIP (Include Time 0)</t>
  </si>
  <si>
    <t>Finished Goods (Include Time 0)</t>
  </si>
  <si>
    <t>Machinery Investment</t>
  </si>
  <si>
    <t>Additional Investment in Machinery</t>
  </si>
  <si>
    <t>Total Investment</t>
  </si>
  <si>
    <t>Gross Fixed Assets</t>
  </si>
  <si>
    <t>Other Assumptions</t>
  </si>
  <si>
    <t>Discount Rate </t>
  </si>
  <si>
    <t>Manufacturers Sales Reps Commission</t>
  </si>
  <si>
    <t>Tax Rate</t>
  </si>
  <si>
    <t>Cash % of Sales</t>
  </si>
  <si>
    <t>Initial Paid in Capital Needed</t>
  </si>
  <si>
    <t>Start-up</t>
  </si>
  <si>
    <t>Total Revenue</t>
  </si>
  <si>
    <t>Variable Costs</t>
  </si>
  <si>
    <t>Fixed Production Costs (Allocated MOH)</t>
  </si>
  <si>
    <t>Gross Profit</t>
  </si>
  <si>
    <t>One-time Start Up Expenses</t>
  </si>
  <si>
    <t>Administrative Overhead (Salaries)</t>
  </si>
  <si>
    <t>Marketing Expenses (Excluding Sales Force)</t>
  </si>
  <si>
    <t>Sales Force Expense (Excluding Manufacturing Reps Commission</t>
  </si>
  <si>
    <t>Manufacturer's Sales Reps Commission Expense (10%)</t>
  </si>
  <si>
    <t>Total SG&amp;A Expenses</t>
  </si>
  <si>
    <t>General Operating Expenses</t>
  </si>
  <si>
    <t>Total Other Operating Expense</t>
  </si>
  <si>
    <t>EBITDA</t>
  </si>
  <si>
    <t>Depreciation on Original PP&amp;E</t>
  </si>
  <si>
    <t>Depreciation on New PP&amp;E</t>
  </si>
  <si>
    <t>Total Depreciation</t>
  </si>
  <si>
    <t>EBIT</t>
  </si>
  <si>
    <t>Charitable Contributions (CSR)</t>
  </si>
  <si>
    <t>Adjusted EBIT</t>
  </si>
  <si>
    <t>Taxes</t>
  </si>
  <si>
    <t>Net Income</t>
  </si>
  <si>
    <t>Increase in Net Income</t>
  </si>
  <si>
    <t>Statement of Retained Earnings</t>
  </si>
  <si>
    <t>Minus Cash Returned to Investors (Dividends)</t>
  </si>
  <si>
    <t>Payout Rate</t>
  </si>
  <si>
    <t>Increase in Retained Earnings</t>
  </si>
  <si>
    <t>Income Statement Financial Ratios</t>
  </si>
  <si>
    <t>COGS % of Sales</t>
  </si>
  <si>
    <t>Gross Margin % of Sales</t>
  </si>
  <si>
    <t>Net Income % of Sales</t>
  </si>
  <si>
    <t>SG&amp;A % of Sales (Including Depreciation)</t>
  </si>
  <si>
    <t>Marketing Expenses % of Sales</t>
  </si>
  <si>
    <t>Time 0</t>
  </si>
  <si>
    <t>Assests</t>
  </si>
  <si>
    <t>Current Assests</t>
  </si>
  <si>
    <t>Cash Reserves and Short-term Investments</t>
  </si>
  <si>
    <t>Accounts Receivable</t>
  </si>
  <si>
    <t>Raw Materials and WIP (1)</t>
  </si>
  <si>
    <t>Finished Goods Inventory (1)</t>
  </si>
  <si>
    <t>Total Current Assets</t>
  </si>
  <si>
    <t>Fixed Assets</t>
  </si>
  <si>
    <t>Accumulated Depreciation</t>
  </si>
  <si>
    <t>Total Fixed Assets</t>
  </si>
  <si>
    <t>Total Assets</t>
  </si>
  <si>
    <t>Liabilities and Equity</t>
  </si>
  <si>
    <t>Current Liabilities</t>
  </si>
  <si>
    <t>Accounts Payable</t>
  </si>
  <si>
    <t>Total Current Liabilites</t>
  </si>
  <si>
    <t>Equity</t>
  </si>
  <si>
    <t>Paid-in Capital (Cumulative)</t>
  </si>
  <si>
    <t>Retained Earnings (Cumulative)</t>
  </si>
  <si>
    <t>Total Owner's Equity</t>
  </si>
  <si>
    <t>Total Liabilites and Owner's Equity</t>
  </si>
  <si>
    <t>Total Assets -  Total Liabilites and Equity</t>
  </si>
  <si>
    <t>Net Working Capital Balance (Current Assets - Current Liabilites)</t>
  </si>
  <si>
    <t>Balance Sheet Financial Ratios</t>
  </si>
  <si>
    <t>Accounts Receivable Days</t>
  </si>
  <si>
    <t>Accounts Payable Days</t>
  </si>
  <si>
    <t>Inventory Days COGS</t>
  </si>
  <si>
    <t>Accounts Receivable % of Sales</t>
  </si>
  <si>
    <t>Accounts Payable % of Sales</t>
  </si>
  <si>
    <t>Investment Returns</t>
  </si>
  <si>
    <t>ROA</t>
  </si>
  <si>
    <t xml:space="preserve">ROS </t>
  </si>
  <si>
    <t>ROE</t>
  </si>
  <si>
    <t>Statement of Cash Flows</t>
  </si>
  <si>
    <t>Year 6</t>
  </si>
  <si>
    <t>Year 7</t>
  </si>
  <si>
    <t>Year 8</t>
  </si>
  <si>
    <t>Cash Flows</t>
  </si>
  <si>
    <t>Risk-Free Rate</t>
  </si>
  <si>
    <t>Growth in Net Income</t>
  </si>
  <si>
    <t>VF Corp Beta</t>
  </si>
  <si>
    <t>CamelBak Beta</t>
  </si>
  <si>
    <t>Plus Depreciation</t>
  </si>
  <si>
    <t>Beta</t>
  </si>
  <si>
    <t>Less Change in NWC</t>
  </si>
  <si>
    <t>Standard Premium</t>
  </si>
  <si>
    <t>Less Capital Investment</t>
  </si>
  <si>
    <t>Size Premium</t>
  </si>
  <si>
    <t>Net Free Cash Flow</t>
  </si>
  <si>
    <t>Equity Risk Premium</t>
  </si>
  <si>
    <t>Growth in FCF</t>
  </si>
  <si>
    <t>CAPM</t>
  </si>
  <si>
    <t>NPV of FCF </t>
  </si>
  <si>
    <t>Internal Rate of Return (Including Terminal Value)</t>
  </si>
  <si>
    <t>Project</t>
  </si>
  <si>
    <t>Total Cash Flow</t>
  </si>
  <si>
    <t>Discount Rate Table @ 1% Change</t>
  </si>
  <si>
    <t xml:space="preserve">NPV of FCF </t>
  </si>
  <si>
    <t>Alternative Valuation</t>
  </si>
  <si>
    <t>*Not included in valuation because not applicable to our company</t>
  </si>
  <si>
    <t>Perpetuity Growth Method</t>
  </si>
  <si>
    <t xml:space="preserve">Undiscounted TV </t>
  </si>
  <si>
    <t>Discounted TV</t>
  </si>
  <si>
    <t>Undiscounted TEV</t>
  </si>
  <si>
    <t>NPV FCF + TV</t>
  </si>
  <si>
    <t>Discounted TEV</t>
  </si>
  <si>
    <t>NPV FCF Y0-5</t>
  </si>
  <si>
    <t>DCF Value</t>
  </si>
  <si>
    <t>Implied Exit Multiple</t>
  </si>
  <si>
    <t>Exit Multiple Method</t>
  </si>
  <si>
    <t>EBITDA Multiple</t>
  </si>
  <si>
    <t>Implied Growth Rate</t>
  </si>
  <si>
    <t>Net Present Value (Including TV)</t>
  </si>
  <si>
    <t>Weight</t>
  </si>
  <si>
    <t>NPV Perpetuity Growth</t>
  </si>
  <si>
    <t>NPV Exit Multiple Method</t>
  </si>
  <si>
    <t>NPV Weighted</t>
  </si>
  <si>
    <t>SolPower Funding</t>
  </si>
  <si>
    <t>Increase in PIC</t>
  </si>
  <si>
    <t>Funding Needed</t>
  </si>
  <si>
    <t>Partner 1-CEO</t>
  </si>
  <si>
    <t>Partner 2-CFO</t>
  </si>
  <si>
    <t>Partner 3-COO</t>
  </si>
  <si>
    <t>Outside Funding Needed</t>
  </si>
  <si>
    <t>Angel Investor 1</t>
  </si>
  <si>
    <t>Angel Investor 2</t>
  </si>
  <si>
    <t>Angel Investor 3</t>
  </si>
  <si>
    <t>Angel Investor 4</t>
  </si>
  <si>
    <t>EXTRA:</t>
  </si>
  <si>
    <t>Accounting Break-even</t>
  </si>
  <si>
    <t xml:space="preserve">Manufacturing Price </t>
  </si>
  <si>
    <t>COGS (Per Unit)</t>
  </si>
  <si>
    <t>Contribution Margin (Per Unit)</t>
  </si>
  <si>
    <t>Fixed Costs</t>
  </si>
  <si>
    <t>Break-even Units </t>
  </si>
  <si>
    <t>Break-even Sales </t>
  </si>
  <si>
    <t xml:space="preserve">Revenue </t>
  </si>
  <si>
    <t xml:space="preserve">Margin of Safety </t>
  </si>
  <si>
    <t>NPV Break-even </t>
  </si>
  <si>
    <t>NPV Break-even Units</t>
  </si>
  <si>
    <t>*Number are hardcoded because of use of goal seek</t>
  </si>
  <si>
    <t>Investment</t>
  </si>
  <si>
    <t xml:space="preserve">Year </t>
  </si>
  <si>
    <t>Depreciatable Amount</t>
  </si>
  <si>
    <t>Life</t>
  </si>
  <si>
    <t>Depr. % @ Current Year</t>
  </si>
  <si>
    <t>Depr. Current Year</t>
  </si>
  <si>
    <t>Depr. Amount Left</t>
  </si>
  <si>
    <t>Depr.</t>
  </si>
  <si>
    <t>Depr on New</t>
  </si>
  <si>
    <t>Comparable Companies</t>
  </si>
  <si>
    <t>Company</t>
  </si>
  <si>
    <t>Ticker</t>
  </si>
  <si>
    <t>Stock Price</t>
  </si>
  <si>
    <t>EV</t>
  </si>
  <si>
    <t>Market Cap</t>
  </si>
  <si>
    <t>P/E</t>
  </si>
  <si>
    <t>EV/EBITDA</t>
  </si>
  <si>
    <t>EV/Revenue</t>
  </si>
  <si>
    <t>A/R</t>
  </si>
  <si>
    <t>(A/R)/Rev</t>
  </si>
  <si>
    <t>A/P</t>
  </si>
  <si>
    <t>(A/P)/Rev</t>
  </si>
  <si>
    <t>Cash Reserves</t>
  </si>
  <si>
    <t>(Cash Res)/Rev</t>
  </si>
  <si>
    <t>VF Corporation ('16)</t>
  </si>
  <si>
    <t>VFC</t>
  </si>
  <si>
    <t>CamelBak ('10)</t>
  </si>
  <si>
    <t>Vista Outdoor ('16)</t>
  </si>
  <si>
    <t>VSTO</t>
  </si>
  <si>
    <t xml:space="preserve">Mean </t>
  </si>
  <si>
    <t>75-Percentile to CamelBak</t>
  </si>
  <si>
    <t>Median</t>
  </si>
  <si>
    <t>Risk 1. Unreliable Survey Results</t>
  </si>
  <si>
    <t>Rent</t>
  </si>
  <si>
    <t>Benefit</t>
  </si>
  <si>
    <t>Workforce</t>
  </si>
  <si>
    <t>Surveys</t>
  </si>
  <si>
    <t>Costs</t>
  </si>
  <si>
    <t>Raise Awareness by 5%</t>
  </si>
  <si>
    <t>Risk 2. Material Cost Fluctuation</t>
  </si>
  <si>
    <t>Buy Forward</t>
  </si>
  <si>
    <t xml:space="preserve">Costs </t>
  </si>
  <si>
    <t>Risk 3. Dysfunctional Features</t>
  </si>
  <si>
    <t>Quality Control</t>
  </si>
  <si>
    <t>Warranty</t>
  </si>
  <si>
    <t>Increase R&amp;D Spending</t>
  </si>
  <si>
    <t>Upgrade to New Versions</t>
  </si>
  <si>
    <t>Risk 4. Fashion Trends</t>
  </si>
  <si>
    <t>More Aggressive Marketing</t>
  </si>
  <si>
    <t>New Market Segment</t>
  </si>
  <si>
    <t>Risk 5. Competition</t>
  </si>
  <si>
    <t>Patenting</t>
  </si>
  <si>
    <t>Licensing</t>
  </si>
  <si>
    <t>Benefits</t>
  </si>
  <si>
    <t>Reverse Engineering</t>
  </si>
  <si>
    <t>Encourage Positive Reviews</t>
  </si>
  <si>
    <t>Risk</t>
  </si>
  <si>
    <t>Possibilities</t>
  </si>
  <si>
    <t>Probability of Occurance</t>
  </si>
  <si>
    <t>Impact</t>
  </si>
  <si>
    <t>Unreliable Survey Results</t>
  </si>
  <si>
    <t>Infllated PI, Unreliable Feature Preference</t>
  </si>
  <si>
    <t>Medium - High</t>
  </si>
  <si>
    <t>High</t>
  </si>
  <si>
    <t>Material Cost Fluctuation</t>
  </si>
  <si>
    <t xml:space="preserve">Currency, Supplier Cost </t>
  </si>
  <si>
    <t>Medium - Low</t>
  </si>
  <si>
    <t>Dysfunctional Features</t>
  </si>
  <si>
    <t>Raw Material, Insufficient R&amp;D</t>
  </si>
  <si>
    <t>Low</t>
  </si>
  <si>
    <t>Change in Fashion Trends</t>
  </si>
  <si>
    <t>Target Market Change Tastes</t>
  </si>
  <si>
    <t>Low (in our life cycle)</t>
  </si>
  <si>
    <t>Aggressive Competition</t>
  </si>
  <si>
    <t>Competitors Enter Market</t>
  </si>
  <si>
    <t>Technology Reformation</t>
  </si>
  <si>
    <t>Wireless Charging, Faster/Better Energy Sources</t>
  </si>
  <si>
    <t>Low </t>
  </si>
  <si>
    <t>Dangers of Use of Product</t>
  </si>
  <si>
    <t>Health Damage</t>
  </si>
  <si>
    <t xml:space="preserve">Very Low </t>
  </si>
  <si>
    <t>Change in Climate</t>
  </si>
  <si>
    <t>Unseasonable Cold / Cloudy Weather</t>
  </si>
  <si>
    <t>Medium</t>
  </si>
  <si>
    <t xml:space="preserve">(+) Battery Capacity </t>
  </si>
  <si>
    <t xml:space="preserve">(+) Number of Compartments </t>
  </si>
  <si>
    <t xml:space="preserve"> Relative Importance</t>
  </si>
  <si>
    <t>amps</t>
  </si>
  <si>
    <t>#</t>
  </si>
  <si>
    <t>@RISK Correlations</t>
  </si>
  <si>
    <t>&gt;75%</t>
  </si>
  <si>
    <t>&lt;25%</t>
  </si>
  <si>
    <t>&gt;90%</t>
  </si>
  <si>
    <t>ec290a5f2fe55c6b70baa134a7c299e3_x0004__x0005_ÐÏ_x0011_à¡±_x001A_á_x0004__x0004__x0004__x0004__x0004__x0004__x0004__x0004__x0004__x0004__x0004__x0004__x0004__x0004__x0004__x0004_&gt;_x0004__x0003__x0004_þÿ	_x0004__x0006__x0004__x0004__x0004__x0004__x0004__x0004__x0004__x0004__x0004__x0004__x0004__x0002__x0004__x0004__x0004__x0001__x0004__x0004__x0004__x0004__x0004__x0004__x0004__x0004__x0010__x0004__x0004__x0002__x0004__x0004__x0004__x0001__x0004__x0004__x0004_þÿÿÿ_x0004__x0004__x0004__x0004__x0004__x0004__x0004__x0004_q_x0004__x0004__x0004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_x0014__x0001__x0001__x0001__x0005__x0001__x0001__x0001__x0006__x0001__x0001__x0001__x0007__x0001__x0001__x0001__x0008__x0001__x0001__x0001_	_x0001__x0001__x0001__x0002__x0001__x0001__x0001__x000B__x0001__x0001__x0001__x000C__x0001__x0001__x0001_
_x0001__x0001__x0001__x000E__x0001__x0001__x0001__x000F__x0001__x0001__x0001__x0010__x0001__x0001__x0001__x0011__x0001__x0001__x0001__x0012__x0001__x0001__x0001__x0013__x0001__x0001__x0001__x0003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r_x0001__x0001__x0001_ýÿÿÿ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 $z_x001C_naÓ_x0001_þÿÿÿ_x0003__x0003__x0003__x0003__x0003__x0003__x0003__x0003_R_x0003_S_x0003_K_x0003_L_x0003_I_x0003_B_x0003_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0002__x0003__x0002__x0002__x0002__x0002__x0002__x0002__x0002__x0002__x0004__x0002__x0002__x0002_ÉÕ_x0001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0003_ÿÿÿÿÿÿÿÿÿÿÿÿÿÿÿÿÿÿÿÿÿÿÿÿÿÿÿÿÿÿÿÿÀiWOyYÌ?ÌmQË?_x001D_÷_x0018_ëÉ?×!q1_x0013_©Ï?_x001C_QÏç&lt;°É?Ùr12ÑbÌ?_x0002_²q &gt;Ì?_x000C_úC&gt;ÍdÌ??Ø_x0004__Î?ØkE_x000E_Ì?/²LÝÏ?¶5¨_x0015__Ê?ÕØUÎ§Î?W,4Ä_x0012_Ï?@Ë%_x001E_;È??êW_x0016_¿Ì?_x0001_º.Ë¦²Î?_x001F_+3NÍ?*rÞèXÏ?$yµ^q0Í?ý¸n_x000B_w=Ì?YÑ½K:ªË?_x000C_FÖâ_x0003__x001F_Ë?y_x0003_È!ïÊ?;fû_x0014_¦ãÉ?Î§gzLË?©¾
B©¾Ï?rÇ2i_x0001__x0003_ÝKÎ?û=é`ëÈ?ªÁ_x000B_XiË?r\5n,çÊ?~Çs_x0012_mÉ?ÚNÝ_x0007_&gt;èË? Z¯?ÎÊ?¬ZÝ´Ê?I]­ÔÌ?©?ñ_x001C_½Î?_x0002__X¨êéË?_Gµ9¡ëÍ?»_x000F_äÃÃ$Ë?JÃïÅÛË?ú_x0014_¾ÄJË?t_x0013_Èê\Ì?_x0010_cj_x0016_}Ì?j;Ô¨_x000F__x0010_Í?z_x0016_=µÉ?¹û½_x0005_NkÎ?nx´hZìÎ?&amp;&amp;;Î?øOñ_x001F_L4Ë?À:`M_x0015_øÌ?=!²ÀïÈÌ?rQ;h¢'Ï?`Ñ_x0004_aÊ?O±-_x0018_=ÉÍ?f»4_KaÌ?_x000E_³zvÏ?£Ùê¼»Î?..éØgôÌ?_x0004__x0006__x0012_?0_x000C_:(Í? 
 8@_x0013_Ì?ù¸Y½^oÌ?`_x0015_Èìê#Ì?áÇ4ªÍ?_x0001__x0004__x0004_'Ò_x0011_Z,Ò_x0011_Z_x0001__x0004__x0004__x0004__x0001__x0004__x0004__x0004_è_x0003__x0004__x0004_è_x0003__x0004__x0004_è_x0003__x0004__x0004__x0003__x0004__x0004__x0004__x0002__x0004__x0004__x0004__x000C__x0004__x0004__x0004__x0004__x0004__x0004__x0004__x000C__x0004__x0004__x0004__x0002__x0004__x0004__x0004_ÿ;h_x0001__x0004__x0004__x0004__x0004__x0004__x0004__x0004__x0004__x0004__x0004__x0004_·ò&amp;¶º?
×ò%ÉËµ?Qy³dR½·?&amp;be_x001A_ðyº?8=
áÐ_x001B_·?lÙÊÕ_x001C_¸?_x0007_ú2_x0001_F²?pæN_x001E_Àö´?IpÊ4¼?M³ 0|¸? Ý_x0005_Î_x0012_´¶?$2ÈS·?Ðµ_x0008_0_x001A_´?2¶_x0007_¢,µ?·Ûr)ô¹?»=4_x001F_A;·?rï4C µ?Þ¡_x0001__x0002_0'¹?ïÐ¨Â¶?26ÍYØ»?ï_x001D_³}L·?dáÍI¸?6´|lUîº?_x0010_4Í_x001C_Ïå´? VS_x0013_»?\È3 µ?§he¬_x000C_²?¶¼;ã­²?#v_x000C_ãþð¶?lµc"&amp;x¶?¦æD¾?DÅ¤çù_x0013_´?½÷ÍÝO©·?ü%îþËµ?w4(L°è·?&gt;aÉ»ÿ·?þ?y§}'·?¡Lã]º?Eì_x001A_Cî¹?}ÅÝ,(*¶?ª°=¡ê±?¨*[_x001F_¶?ñQ¾Ôº?æ`ôÿG¹?ºÄÀãj´?£UXE$;º?5º_x0017_ïÝJ²?(Î¦_x001D_àÈ³?¯EyXÖ&lt;¶?_x0006__x0007_dñ_x0005_·Xµ?K#í_x0003_B¸?£mz_x001E_P¶?æýÄÜ7µ?º¬2ý³?æãM"r&amp;¸?xîOÛ¶?kµíL×_x001A_¹?³§ùÉ¥¶?Ô8ºP¸?_x0010_T_x0005_N_x0011_·?ÁáÇîï_x0002_³?à_x0012_üèF#·?l|ö)oáµ?_x0008__x001E_Å¸Æ_x001B_µ?y2¯`ï´?_x0013_é©_x0014_¯¹?±]'é´?y¯_x0013_G(©³?çdgV 5¶?þ8~XXµ?"!\(iµ?P?_x0004_£·?!ôW»Ê¸?ºXE	S¦´?´»_x0016_Í3¹?÷V¯Ï!¹?%`_x0014_ç¬´?_x0001__x0004_tµ_x001F_¶?]2OÎ_x0002_`µ?÷^P]ô´?0«Ì_x0002__x0003_¨Iµ?±EÃÐ_x0007_¶?0/9ÅUf¹?ð?Ý¶ß´?::D­Tv´?Ô¼¡Aµ?²¿Ë Bû¶?_x0007_»(
vµ?e&amp;&gt;üd¶?ÏÙîïuQ·?w'~æ¸?_x0018_Ó7l_x0005_´?¥?¹¯¹÷·?8Ñ³Z¸?Î³¸òz|·?÷&amp;óÒ@¶?ß»nyÆ´?0(ß8·?5M%_5ßµ?çß_x000C_Ó5¹?_x0006_ &gt;_x000F_Qk¶?_x0006__x0015_éXr¸?éÇ|hc¹?hÚ2_x0014_³?ng6Ý¸¹?~w_x0002_ð_x0001_´?¨_x001C_J¨³?1a³Ó)¹?äÿÓ_x000F_ÿ^²?!¸Ùé,±?ÏU2X:¸?Ê©Yè$â»?_x0003__x0004_^×ÔÍ.aµ?e0þ¦Û_x001A_·?:´MS¸?_x000E_/_x0002_2]¼?k8M_x001B_4·?h_x0004_dÛ«[µ?«µhé¶nº?_x0006_ìþf_x001A_Î¹?÷ÅÑÈã²?þÍm¶?ô_x0005_Ê«â¸?O_x0010_[|eµ?ñ·îß/µ?£Àåz	ÿ¶?Iðß+×µ?_x0013_'_x0007_&amp;_x0012_¸?_x0008__x0006_ éjµ?àññ4çÕ¹?+:yî¦¹?ã&amp;F$p;¶?Ô_x0006_&amp;?&gt;¸?_x001B_ë)ð~g¶?ò_x0006_õK¤½´?Zíðì´?»C
ûQC´?_x001F_-\¥u/´?D_x0005_æ_x0017_bq¶?]I|Sç·?g}¤_x001C_º?/u_x0001_C¸?ñúà«Óèµ?_x0004_&lt;Á_x0001__x0002_¤e¸?§_x0015_F1µ?(¦JYd_x001F_¹?IV_x0011__x001E_·?OkíÒNG´?G¯KG·?[øîs´?eBì¨ð¶?ÂFÜ·?Ë½K¢ïË¸?:
_x0017_¸?ÐâÂ\¡ø±?Ò_x0002_}_x0002_ký¸?ÑfÛ_x0010_èµ?¬MfWÕ¹?Nòæ&gt;î~¶?[a_x000B_\qÑ¶?óÃ_x000C_¹"ó·?ÞGZØ_x0017_¾·?ÒFë`¹?_x001A_-ñ8_¸?D²ùx´?{(hµQµ?\¹æ'ë¸?×WQñæ0´?8¯_x0008_9ô«·?_:ïÞÃ¶?ë´_x0001_gd_x0018_¶?¦Â¬¬Û¹?-tüG¯·?Axá,©ë¶?ÀÕÁ_x001E_s_x0005_¸?_x0001__x0002_Í%Q_x001E_v¶?zIég¶?¢@hw&lt;!º?PÂ­*	º?è9q¶|Ì³?_x0001__x0012_ïÀ_x0012_·?_ÐW_x001C_y¶?¼_x0016_¸´?ìÊ¨)'»?½[±!¸?¥Y_x0006_øIÒ·?ñ"¶;_C·?_x0005_JÃ&lt;_x0006_Ð¶?¿gjèÊ¹?ün_x000E_eÈýµ?íé_ðÁ_x001B_»?å±mØµ?í_x0002_yÀ8º?yCþða³?7/¡©¶?#Ó_x0013_ÕÉÍµ?Üfç8·?~4¥`©ò´?4Üh³?­Q_x0008_Êf0¶?_x0013_MØÔ&lt;·?j®_x0014__#¼?9º79=j¶?|º_x0005__x001F_ºÞ¶?,2ê*±¶·?­_x0005__x0016__x0013__x0002_^¹?8Ë_x0001__x0006_Á:µ?#_x0007_£¥jË¶?W£wÚu·?)¬ÆZÉµ?« Éó.ç´?¸_x0002__x000E_×"¸?÷^ß£_x000C_û´?9;_x0004_¹?_x000E_»b	Wrµ?â.í÷³?:VDÆL·?üÒ`_x0005_³?¼,ÿbwÍ¸? ©ö_´?ë÷
¶ûµ?­Ó_x001D_Å_x0003_À·?ì[_x0019__x001F_~\¸?ÖÑ_x0013_eú5»?_x0002_k*ëH#µ?_x0001_Ò© º?wÊ_x001F_~º?_x0007_¨k_x0016_µ?RLyéYº?Æûù©)_x0018_´?Ûc/F º?V_x0015_5®a¸?füõÁr·?_x0012_¼_x0014_\¸?o¬n«-Fµ?_x0015_¦Û32·?Û&lt;-b9·?¯_x000E_q_x001F_ÖN³?_x0003__x0005_kÐKÊ¸?çÀ6Æ{Z¸?ëHIò_Ê·?iâÕ²µ?ÑÖqÈ_x0001_¸?£óÂ1°a¶?_x000F_u;Ðÿº?4i;ËQF´?º7¾¡O¶?ç&amp;¢ÛÅª¸?hcËîó¸?Ù¨_x000E_üe´?Fbnè¶?O_x0013__x0016_ê_x0014_µ?_x0014_;2o¿¹?_x000E__x000E_xÕÊT¸?wW\Ûµ?Æê¸w¡´?o%Â_x000C_¹?Fá´HÇº?oëÆ¶¶?f_x001E_ÀNp[¶?êtV´õ}¸?è&lt;è_x0012_¸?ô¸mî6ú³?îÝÀ¨7x¸?}¾%Y
µ?_x0013__x0004_«ç¶?_x0016_áðñR.¹?!¹^_x0002_ftº?à(¡püþ¼?àÈ7È_x0002__x0003_a¹?¡ëæµ?æî_x0017_èN·?7Î`èXwµ?ú~-:ak¹?7_x001D_zBRì²?ïPM¶?_x0004__x0001__x0012_E8P¹?6Î3Z·?ñ~/¦¹_x000B_¸?_x0014_þ9$ÃÄ¸?Ô_x0014_Jv©´?yo_x0002_JÃ_x0014_±? áÜiZ_x0015_¶?_x0006_^;o¸?ÉÉÓï¸?DÙ_x0018_?­_x001F_µ?Ä¿:ÿèÿµ?&amp;pøþ¼?Ó_x0010_â7®¶?(Zlkó´?Fø:K"¶?"ç´Ì´º?zô*Ý_x0005_·?ß_x000C_Òt_x000F_µ?ÛU`Ô4_x0011_µ?&amp;	Vëq_x0002_¹?õ_x0010_ÀI_x0014_¸?NòüHìª¶?'`_x000E_G_x0008_¸?@¶T2_x0012_+µ?
.oË_x0016_º?_x0005_	Ü§òW_x0007_·?E_x001C_V­wÚ¶?¾]~ü_x0019_Lµ?bê×°×ô·?#»®¾_x000C_/º?hÝü¢	µ?{£D_x0001_³»?yK_x000E_Ub·?_x0002_.Ûå·¶?²C¤ÊÓd»?kXÈF­µ?{Ë¸&gt;¯Ó¶?¿²ôä*¤´?N_x0004__x000F__x001F_!¯¶?²B:´´?5£æ_x0001_¢_x0010_¶?Ô|õçµ?
ù±A_x001A_¸?Æ»|ê·-·?¯ÂÃ¬¸?Ú­¢îµ?×¬q:)±·?_x0006_ÙÄÖö¸?_x000C__x0005_ËEÃ$·?¯©oñÈ¶?LÄ(o»©²?eïf_x001D_*_x0003_º?$ð_x0008_»&lt;åº?°ir¨u´?Ô_x0008_ÃÏÒµ?f}ã_x001B_Aº¹?$rË__x0003__x0006__x0010_¹?_x0006__x000C_qÏòÛµ?^èãUÖ_x000E_¶?¨G¼Ü_x001E__x0008_·?Uo#
¢~·?Zx¦ïN¸?ÓònÐ×m·?ÎßMñpµ?_x0008_¨î_x000E__x0016_oµ?Ý_x0017_t:w§µ?ÈwnQ+©»?ÚËV_x000C_+·?ª_)_x0004_'¶?Ö¸(©ã¹?"&lt;ywdÁ¸?%_x0008_äHþ¼µ?__x0005_üiÕµ?Ú ü\_x001E_´?¯`o/È_x001D_¸?ÈÐg¥ü_x0019_³?ÄÛÚÒs,¹?ÙÐr$º?ÿ[pÁÉ¶?§!^eæ·?P\KùÓ´?_x0001_aúH÷b¶?ÜèÏiK¸?åvk©ä7¸?NÜÆ·&gt;µ?¨I_x0006_úÂ¹?°³ÊÑ±?2_x0017_°$_x0002_Ú¸?_x0002__x0004__x0001_°6V°?·?ñ²ît!¸?¶ß_x000C_º¶?_x0014_áÐØ¹?¦¸GH_x0014_¶?ôÃ$^´?BÈ/{Gs¶?TÃ7r´Ò¶?uI6¦ý·?û^
.Gµ?D¨÷Á]_x0016_·?·³ÔÖ_x001C_º?n_x0003_f~Û_x0003_·?nÔ£@´?%öt	'³?ÓM;¸¹?µôÓ^º¶?nÛ\ÿ_x0006_p·?´Û_x001C_c¸?_x0018_þcdw·?ô_x000E_¹ö3¶?K
·?qÞ_x0006_¸?mss¼¨³?_x000B__x0015_
êr¦¸?Ó_x001E_!T´?åpð	!÷¶?0¹Ræïµ?¡_x000B_ÓU ·?£gdy··?Ô+wË¼hµ?Q|bh_x0001__x0002_ji·?$õMØ·??U&lt;a
º?sø{?ô±³?¥1ð¥D¶?_x0017_»l_x0007_yµ?ÆY_x0006_%*õ²?oÇar·?@ºóNs²?~ü|@´µ?_x0017_Øµê¶?ÃA7_x0001__x0019_º?U!}k+´?¥©£Ëãµ?-¿`_x0007_ný¶?Í_x000E_I´?6eF³?yú_x001A_¦¶?7y o{´?_x000B__x0013_©Þ¼Þ·?3=&lt;_x0006_g´?`&lt;ÛGæó´?xá:M2Ù¶?ç£¶'6?³?_x001E_jGc·?Eä_x0002_8¹_x0002_¶?åM¤x°|¹?ä´¬µ.£³?2(È´äÐ¸?_x001B_«h¼&amp;¶?¿ÉÌ_x0016_2Ç¶?Çæ®7ê·?_x0001__x0002_¾Z_x0016_V[·?_x000E_ùGtv¶?dô1L_x000E_=±?fk;Ë|ë´?5~&amp;m)µ?Ùã_x0004_°$æµ?}9_x0013_ôr¹?ì÷Êþ°¹?Ò;JÇ¬_x0018_·?»TóQ¸?5tÖNÜù´?â
&amp;_x0007_Ñ·?_x0011_iDñ}´?dß_x000B_ü_x0010_å¶?_x000E_æ8,¶?Zû.x³?ãã_x0018_¸?ueLZt¶?
_x0013_2xV¸?ÑL
Ä(_x0011_·?Ì_x001B_ê_x001F_5h²?Tþ/p_x000C_&lt;µ?-_x001F_eG_x000B__x001D_¶?Ù¤_x0002__x000B_¶?_x0003_7#8.^³?R_x0010__x0010_ÿ9v³?¶?Ã·?ÝX¹Ä_x001D_7¸?=_x001D_&lt;Ãwü·?31+Àµ¶?¹&gt;FR«_x0005_µ?ï­æQ_x0005__x0007_ü¸?ærË7²?_x001C__x0003_æ{+³?_x001E_¾^ý²Ç·?³:+ÝDA·?_x0001_£³B¦¶?k|qQ¶?wÐ²¶MÁµ?_x001B_¸Z-L´?®-MY_x001F_°?	B_x0004_þ!:¶?ørF¯)X·?ÞsÆ·×à·?À3àÕV~¹?0;_x0006_?Lº?¾ñ7õ÷Ý¸?_x0005_M×,_x0006__x0002_²?ó»Ø ã¹¸?÷i_x0017_S°Ö¶?_x0016__x000C_·q_x0010_¾¸?_x0011_è+Ä´?$=AÍ¹Â´?w½(_x0001_ã³?ë:ë²#{·?ÇÔJØ/¹?Ä6Pú|Gº?_x001A_0õõ7Ö¶?ô_x0008__x000B_-C´?º°¤m¶??CØ;³?Ä2_x0008_÷Õ¸?®}0¡Ì¶?_x0001__x0005_Ë}×øß:¹?_x000B_Ñ%é¹?bÿ_x0015_rb¼»?X¹ö_x0003_5·?^Ü_%¶?(ÿZ}k·?é¾ré_x0008_µ?³©¦	æI¶?×i$CÑ¹? ÄÇiµ?m!*_x0005_·´?­-Z2`»·?S_x000E_¿_x0006_îµ?r@®a¸µ?¬Mþ&gt;*¸?_x0016_Ïª«óÎ·?
ý?øµ?Çl	_x0018_c´?Ð!f3kî·?þûNX_x0002_·?ËÏ8U£·?_x0004_n}_x001E_n¹?ôõ_x0001_)º¹±?cÁ~Ç·?ÍJI!aH¶?,Ýº_x000F_&lt;$¶?×¡ûd°¸?_x000C_½+&gt; q·?­Å*Mv·?ie:¼¶?8ÿýØ#Tº?_x0004_U=_x0002__x0003_Ç¸?wd4ôþê³?å²ìÛT¶?æW×7³?ÅhRÀY¶?_x001C_[&amp;;÷vµ?ÜWÅÆU·?_x0002_ÙU_x000E_µ?¨à`3{¶?ßo6·R»?&amp;_x000B_`ô_x0007_ö¶?[_x0014__x0013_É3Xº?ç?_x0008_Ðä_x0008_·?E_x001E_ïÀ1K¶?¢²ÜK¶?¬_x0018_zÖ·?èvU$üï¸?í_x0003_Ñ=V³?¥ØDµ?Bâ*®ÊÇµ?öbÔ°Ú´?~pUõ¸?Í&gt;Ñiú¶?P-BÜ)¶?U_x0017_ö$(ý´?ìc_x0001_Ø^*´?¶¥­_x0008_´?l=^¶?_x0017_¬ï-_x000C_¶?´_x001E__x0004_7Tµ?_x000F_ò_x000F_²à¼?y?Q^¸?_x0001__x0002_$w£%¸?0_x0018_ :!&gt;´?½bápý·?]1"Ð³?TB]Âi@¸?{ðkôq¹?=Ú3°Ï¡¶?¸.²&lt;_x001E_·³?_x000F_Êæ_x001F_¸?çØie·?£h$²?A^8Ì£%´?ÜÑ""»?Í¾µX²_x001A_³?s5i=U·?Z¼&gt;ä3Å²?(#_x000E_WB_x000B_·?B½_x0011_:w/¶?_x0003_s
É³?äcÌ·øº?z_x0010_ë9µ?tÁ;ÿ%®µ?6BÕV_x0016_¶?°¨_x001D_8´?}KÐõ{¶?d_x0005_h¦X¶?_x0007_=hÀG¢·?0Ç_x0006_?¹?j»¤´_x001C_¹?)m¶5&lt;
¸?_x0013_Tþ]÷_x0001_¶?]Wð_x0002__x0004__x0016_3½?eðï®5¸?ò\{=@î´?öï ~^¶?#Û-V_x0015_·?|?
î²1º?i¬	·?_x0004_G0s_x001E_¶?i­Ð×¶?ç0V_x001B_¶?ï¹µiËn¶?$Á_x001A__x0017_·?%ÓÎAÏñ³?_x001B_6í_¶?Eÿc¹?°(:^_x0001_º·?ÎÇY
.Ò³?	ð·_x0007_ö!·?ÑµâáBºµ?¹ÔU¦´3³?Õ¤_x0002__x0014__x0004_´?6s_û?·µ?cózé_x0018_ú·?«ü:ï_x0011_à¸?Û?ËX_x0003_µ?X_x0001__x0006_Rr9´?_x0008_S Ò³»?_x0004_$x'¦l´?_x0012_yªWE£µ?©bÆI_x0002_âº?=°ù(_x0018_Íº?Þ&amp;Z&gt;ôq²?_x0004__x0006_ðNìáÝµ?Èáó_x0007_´?rOvFÇ·?_x0002_µ_x001F_'¤º?_x0018__x0005_+
ý6¶?_x000C_×_x000E_]_x0007_¸?Áû_x0017__x0015_9Î´?ÜØ_x001B_Êl$¹?x×Nþ&gt;·?¾/Û_x000F__x0003_¸?"g(¸?_x000C_-¬Ô´?_x000C_&lt;¡Êý¸?_x001F__x0001_:d.¸?w)Ì_x0006_2À¸?Å_x0010_@f
¶?{µ]_x001F_®·?QæVGYw·?ÿTþ_x0003_mµ?¼ì8[ï»¶?	¢B9Þà¶?_x0005__x0018__x0005_µ¶?r
_x0019_çÂ¸?r_x001A_VÀ_x000B_Ò¸?ËÁò|k¸?F|Ìî\µ?&amp;ç_x0019_lD³?_x000C__x0001_µy}î°?eÐØ!^´?öâ_x001A_}qÅ¹? ¥_x000F_°±_x001A_µ?°_x001D__x0017_t_x0004__x0005_mö·?_x001E_ÆVÞ³?7*Ø(¶¶?·ûàQ_x001C_ô³?ê£*_x0002__x0016_9¹?!ê_x001B_I¼u¸?/ìô¯®¸?T__x0019_¹?¾È_x0016__x0013_8¾³?y_x0018_¨qã´?²»é?Mµ?NGêQ¢´?3~_x001D_µ?;z-Ú
_x001B_¶?ôæã_x0014_}¯³?ÌÕ_x0003_G_x0003__x001A_¶?¼MsÖLO¼?V{èçá±?í¾8³?¹w«_x0001__x0007_º?âÐm_x0004_ô¶?þ÷iÝøZ´?&amp;qº¦ßf·?u£_x0005_ÄgÝ·?ï­Ë ¢¹?Ô¶© ñ·?«_x0003_³?_ ÿ©µ?±K­ü¶?ìªÌsä·?¾Ù¥)·?ÇÐó *)º?_x0001__x0002__x001B_G_x000C_ì·?Bdþ=¹?èÄÐ_x001D_åÇ¹?ò8Øû¹?FOjäÉ6·?Ç¾îç_x0003_³?äÜ{¹	¹?ZÂuüÏU¹?ÉJßd_x0005_¹?Á¼ëyJ¹?B&gt;=_x000B_/¶¹?qÅã®±·?_x0003_ç_x001F_»¦q³?(Á_x000B_Òãµ?_x001B_E]_x001F_ÿ¹?n'_x0007__x001E__x0008_/·?L°E½AÑ´?`ì!FD·?£ÊÄè^ ¶?¤é	¶è_x0017_µ??ª_x0010_úNº?ëÔ*Ê£¶?6°o)âÕ³?Lµê3Þc·?@j½3ZM­?_x0007_K9¡ÊT·?_x0001_Pü0_x001F_H·?d]?òe_x0012_´?`Þ^g³,´?q°¢¥ù_x0011_¶?©Ô]¼¦µ?~2õp_x0001__x0003_}W¶?×DØ¢¾ìµ?È_x0006_EQ¹?º_x0018_9y
o¹?%_x0007_ãæ1Y³?_x0002_ð³
_x001A_«µ?ªf&lt;x¡&amp;¶?u/h¥bÂ·?_x0001_¡ø³·?£0_x0014__x0007_¥K¹?_x0002_-nëþ¼?¢JÕ_x001B__x000E__´?_x001C__x001B__x001F_TÄá¸?ºb5_x0016_2²?­ë÷ÖZà´?ÄÁ[7³°?¶_x000F_¥\å¶?S¹±ðeµ?ÌË.Ì+·?®_x0007_®(_x000C_û¸?_x000E__x001E_°nj³?=/;Kì¸?Ñò5õ¹?ÂTåYY¾½?_x0019_`_x0017_C9õµ?æ©ÚRÐµ?_x0014__x0019_5Ê{²?\xv%J³?ªç»µO·?p_x0008_&lt;äû´µ?Z[¨uÃÚ·?BU(¿t·?_x0001__x0002_:_x0019_$z_x0004_9¶?_x0004_ch$à¸?®ï8ðµ? x¬lwd¶?íïj©Á¶?%_'Y_x000C_·?/8æ÷´?ÂG®5k~µ?ó_x0011_¸C}ïµ?g_x0011__x0001_ü2É´?|N´Fi¶?òkkH_x0007_Z¹?nQ_x0018_!U+²?õý%¨(Ý¶?&lt;FíÔ_x0015_²¸?ê¶ñá¹?ÐìubE·?xîé)åâ¶?ÁÜf¼ÎÍ¶?i9_x0017_d_x0015_¸?TÔqA¹?&lt;YzÙAì¹?_x0017_íýy­0µ?V2 :_x000B_°?bU_x0014__x000E_C¶?Åy¢¸?6'«`X"¶?õ_x0006_ïkè³?ö_x001B__x0017_Q¨¨¸?A£Þ\©¶?¾_x0002_ì7Á¶?W¨\_x0001__x0002_ç¸?è@Ióð_x0001_·?6Ó7_x0019_~¶?u_x0011_qê¾ç¶?MÅh_x0014_%µ?¨¥ÿQ_x0005_Ì´?å¶[Ù¦é¹?õ:jm»??6hs{ª·?sÆJò¼¤µ?¨ _x0007_D¹?ÐÅýñ®]·?ô_x0002_UvY·?!×tx·?_x0007_B_x0016_BÄ³?9ßø_x0002_¸?jä_x0018_Íç_x000E_¸?vÁ_x000C_yße¹?ý_x0019_Ð,&lt;¸?ºöeßE·?ÓV&lt;:z¸?ÌÌ~åÈ&gt;¸?(ÏOè|Ó·?ßx_x0012_¹?Bo-@_×´?S·ëôÔ«±?RÛu¨ntµ?_x0018_ß,ÁìM¸?öø±ÞJ¾¶?:ZDæÄh·?^¡ã_x001A_»²?QÐµ_x0017_¸t¸?_x0001__x0003_)4äã¤¸?Bû­EF¸?¿Ìï"Dµ?Ç@_x0018_·?ÉÝ£jb¯´?RøáÂâ·?¥øR{µ?AçHóµ?eUÞgp·?N»&amp;ý_x001F_¹·?'±®yZµ?
ñ&amp;_x0002_H8µ?x¡WJ_x0019_¹?K]Þ;;jº?ñð_x000C_a+±µ?ûvQ]¸?d³_x0006_ÇÚ³?_x001B__x0005_ff_x000F_·?èüi/¸?¨#gÉµÖ¸?JDÕ))§·?_x0017_Rè¾äh¸?P5ïÚ_x000E_fº?ùdÓlµ·?Â-)ä²¾º?Ì2ÈÝ(±?u­È×Ï±¶?`dM£·?)=x¿|¹³?¥)÷å_x000F_º?1òêõ¬Ô·?îø±_x0002__x0003_1~µ?éßîÚÖ´?
_x001A_âÞu?µ?C_x0002_Ñ _x000E_Å¶?»ÖKEö«º?Å_x000C__x000C_Ôô`·?û_x001E_ô\Á´?_x0015_NS;ñ_x0004_·?ÄÂSÑuôµ?MñÛ¡¸?ü_x0008_Ðp¨`º?S_x0017_V&lt;gA¶?_x0001_ÑÙí_x001E_·?õª/¬¹?¼Ói»9¦·?éË6þX_·?G B-Ñµ?Èó óß¶?_x0019__x0004_ùë_x0019_êµ?ðzûõÕ²?àÞ+ºû²?ø²{°Å·?Ø¨ï_x0016_h¸?Îtxÿ_x000B_Â³?C^¦´ G¸?Çp,'Vµ?ÃXùcî³?ô&gt;_x000F_rx¹?&gt;N»_x000B_ó#´?fy]a®¤¹?_x0005_½_x001E_Î	¸?Z`A\s_x0013_¸?_x0004__x0005__x0002_6½_x000E_í¶?´8_x0016_F·?©º_x0008_±á³?6tzM_x0001_A»?¿aw÷§µ?òp,Ä_x0014_µ?=_x0004_½r´?-_x0018_%ÿ'µ? ö1Gl¸?$¢_x0003_nñ»?Ü¬çîÃµ?´muï*»?
~bÍ.	»?pÜÉá·?ú_x0018_{·?ùMQ_x0008_øµ?õOyDÃ±¶?V½_x0016_e_x0006_û¹?åT(­ï·?¿*-´»¸?ûL;¤_x0001_¼?~v)A^_x000C_»?ÉW&lt;¾±´?Ô°ïõÎ´?p_x001A_]ó¶?ä_x000E_[f_x0002_¶? 40¹ÃEº?)B_x0002_¼K»?_x001F_gWSX¹?_x0001__x0003_Mx`_x0008_¶?S¼/I·?øzÃÑ_x0002__x0004_Ú³?Fx®J_x0016_¹?b_x0006_p¸¶?Qo²í·?£áÎùñ|·?Ú]°_x0007_²´?&lt;_x0008_s_x0012_¿¶?§k²_x000E_
µ?_x000B_ëïµ_x0008_¹?,_x0011__x0018_dö
¹?ðqð´-W¶?ø|­_x001A_J¸?|y_x0004__x001D_ëC¶?ú_x0019_½Ù
t»?f.«é&amp;&gt;¶?O_x0008_¼&gt;É~²?wg_x0001_2¸?¸hµ¶hï»?ÄÁó_x000E_s2µ?,eB_x0003_2C¹?Ôõ-_x0018_ÿ´?_x000E_B«µì1¶?Ë%,ÆIT¶?ljs¥wf¸?_x0001_6Á,kÜ²?9©:[Ùº?tMNo¶?ø_x0003_Ö&amp;Ø¹?_x0007_áíx\²?åN·_x001F_´?EÕj¦På²?_x001B__x0015_OÎ¨²?_x0001__x0004__x0019_ký[_x0001_]±?å7sø·?ôàè
_x0016_ ·?Dé_x0015_|§º?_x000B_?_x0019_Àµ?0_Û_x001C_×î¶?r(ºû µ?+ÙP&amp;1µ²?Ü¿ª,n´?p¥Ó¡Åµ?_x0016_ú,Ëë×¸?þjÄ_x0001_m_x0003_¶?ç\õ0ÝÏ²?xs+ßm·?½FsÝ=¶?ªGÕë3´?ÓLM©t¹?_x0016__x001A_©¿é³?ár!ÈúI´?w=1&lt;÷¶¸?d_x0001_^¤_x0002_µ?_x0014_G¹ ëÂµ?8_x0013_ÛÐC¬¶?¢H_x0018_éø¶?+£ç_x0003_£æ¸?_x0003_
¥Ð»´?I`7\°+¸?«R_x&amp;·?»á_x000F_­-]¶?«Kz³?·/Ç[W3´?ìÜÜF_x0001__x0002_ñÓµ?_x000C__x0003_]n&gt;Aº?qZB£-¶?ï¨_ÝR3¸?ù²y_x001E_µ?»_x001C_2_x000F_´?Zç5Ì·?7B~~p¸?Î_x001F_b}Bµ?ð®ù&amp;æÜ´?¬{lQ
¨¶?¤_x0003__x000E_aQ´?ï sG¥øµ?3ü¹$W´?N~ÀòE¶?_x0008_½Öbµ?_x0005_Õi7¼D¸?ç-Â×µä·?õ&gt;	r´¸?VIÕ)Ã¼µ?&lt;¤TU7_x0006_¶?_x0017_FT_x000C_R_x000E_³?IäM_x0010_Í·?á_x000B_.ð°µ?¦äz\_x0012_Nµ?ýO_x0010_a_x000B_l¹?)4_x001C_ÈÙ¸?T:_x0007_;_x001A_T´?ùÙe_x0006_¹´?*9ÚIÒPµ?ßªcé$³?àaê-5µ?_x0003__x0004__x001E_yÏñÎúµ?{l9Õ_z±?«^«±ñ¸µ?Ûy¹$X¸?k_x001D_½1·?hYÖa_x0010_¸?áÙõõÕÊ?¾H.Gõ÷Ê?:Å¶ûb_x0011_Í?_x001C_9¬ì¸Ê?p§Ó_x001E_nÎ?°¤À_x0015_¨Ë?åX_x000F_gôöÎ?_x0010__x0004_Ý_x001A_LðÍ?X_x0005_;ï=Ï?_x001D__x001C_Gn;DÏ?_x001F_µ7Æ0Î?5èû@Î?Æ|áï£áÍ?æ_x0018_½x¢Î?;ùú	LâË?lR1î¡_x000C_Î?_x0002_o'Zo¤Ï?_x000F_Üó¼_x000B__É?%?É9²_x000B_Ï?È{_x001E_;à!Ï?L_x001D_a¡Î?tªS£?ÐË?ÁêCIÏ?LçÓ_x0001__x0013__x0006_Í?ªI»_x0017_I²Í?ïBß+_x0002__x0003_ï¸É?\¶Èx®»Ë?:üx/(âÎ?£i4«ÊtÍ?_x0018_®N¡Ç Ï?\m_x0008__x000B_Ì?tØ20_x0005_ãÍ?âò_x001D_Î©ûÌ?TïxË_x001B_Î?ä]ËgNÎ? _x001C_±T+\Í?Ü~_x000C_L_x0016_ÌÊ?÷è5¾iHÉ?_x0019_.q_x000C__x0017_HÐ?±È^í³;Ì?F=m:ÌÍ?Ð«ÒU_x0017_Î?$eïó¿ÆÎ?þÕ«`A_x0002_Ì?½Ý¹_x0007_ÉË?[þHÎ?&lt;¬ã_x0010_Ê?·_x001D_ã_x001F_ô!Ê?³n?_x0001_·QÍ?ºl'°ÆÂË?ÓÒÅA'Í?LÿÀïL1Ì?Ð8~*¤_x0016_Ï?°èßÐ/¯Ì?_x001F_MEÔ·,Î?~¥_x000E_]Ì?·30íb1É?_x0001__x0006_®5HkKÍ?ÖùÑ _x0013_Í?_x001A_åÁ\6Ê?ÆjúÁ_x0002_Ê?*Ö¿×ÝoÎ?ërHZ_x0015_Ï?Æ_x0005__x0003_&gt;M&gt;Í?4-J/{Ë?ù+»NÌÌ?(ä&amp;ÄÍÏ?&lt;_x0001_³nÌ?ù$·SøÍ?Â®ù;6Ï?2X_x0005__x0004__x0004_®Í?\¶rqïË?F_x000B_ì{u_x0017_Ð?&amp;·ç_x0018_÷Í?_x001C_÷ÐïbË?h]»_x000B_=xÌ?âf7ÇÉ?qæ _x0017_ &amp;Î? 	Ô7Ê?áês(ºË?g£_x000E_YË?_x0010_ñë¾ýÊ?_x001D_ç_x0002_µ:xÎ?°³¦ÉtÎ?íF_x0006_2~_x001F_Ï?eÑ`àÍ?MËVÿúÊ?±é_x0008_ËÍ?Y¡¸£_x0001__x0003_úÖÌ?ç_x001C_¬¿$È?r(_x0006__x0013_ª5Í?_aQG&amp;ÐÍ?õ_x0002__x0003_&amp;±rÈ?ýäËQÿùÍ?Î_x0012_)Y_x0007_JÍ?_x0001__x0015__x001D_h_x0006_Ë?dÿÏ"FeË?C_x0003_ºRÒûÈ?°tÐ.ü´Ì?r)}ÈÊ?"ØÅìÍ?_x000E_0(èUÏ?YøºÖË?¤ÏÚ_x0014_qªÏ? |¸äì_x000C_Ë?j^Q_*SÐ?43ºÈ+ÙÍ?(Ò_x0006_ì-Ð?	_x0015__x0002_j¹íÉ?­ö_x0006_ÑÎ2Ë?ØÒé_x0001_%.Í?_x001A__x0001_Â_x0004_Î?¢_x0010_ç¾PnÍ?'&gt;oá_x0007_Ï?ô_x0004_¤ÜéÍ?ì¥iAçÍ?_x0001_¥_x0003_ÊÃÌ?Î¬_x0016__x0002_ªÎ?_x0018_B_x001D_|Ï?Â"l]ÓÌ?_x0001__x0004_ëPÌHgÍ?EÓÉ%ËË?{_x0007__x001C_¸Ê?{gã}ñÉ?_x0014_¸FÓJ5Ë?þ ¾a&lt;_x0008_Ð?NÓ_x001E_Ì?ÝóêÒîCÍ?Ô÷zJ_x0003_Ï?úõÏ?æPP4/_x0014_Ì?$_x0006_£s(Ë?+n_x0018_APÍ?®Æó_x0008__x001C_Ì?måÅ!_x0018__x000F_Ð?nå£N§5Ì?­û_x0002_t_x000E_Ê?*t¤Þ2ÚÌ?_x001C_w_x0014_)OéÌ?ÇçÀìÌ??bEH_x001A_sÎ?|_x0007_(]Í?X@ð5øÌ?_x0013_XÞrígÌ?]§XO5*Ð?Q]P_x001F_ÅÏ?Ð;_x0014_ÆÊ?5.(ö±Ë?uãÀnÍ?0wPíÍ?Ø[_x0004_ü/Ð?ìò»'_x0002__x0003__x001D_Ï?Èô
 v]Ê?ðrß{½Í?ª¥âÎ}É?±'þÏ?_ý_x000C_õqùË?Ò'_x001E__x0018_èÆÌ?ÆLyìbëÌ?_x0018_Þ?*_x0011_Ð?¶ÐN¢Ë?ë¥9N=«Ì?¥Ý´=_x000C_Í?©"§_x000C_=ÐÎ?_x001A_è5­AàÎ?(ú0ÖtøÈ?wlËÇÍ?_x000C__x0012_^ZzÍ?_x0005__x001A_-z©Ì?µ²8¿?Ì?°nÇ%ïSÎ??|a=ÑÍ?VJ_x0006_9{Ì?Ú£¨70_x001F_Î?D«+v·xË?ÆDï_x0001_ò_x0012_Ê?_x0015_1úÉ?§_x0016_DSóÍ?_x0008_À²_x0013_*RÎ?£_x000C_ÊgY÷Ï?OlÖâ.Ï?¾_x0005_ÃiP]Î?nIÀròÌ?_x0002__x0003_ü+À±ÒtÊ?_x0016_hþÓ?7É?ðêr#Í?½Ò·yÉ?r@5ÿË?z,vËãÎ?#3_x0005_ÓqÌ?_x001D__x001B_ë ÖÃÉ?_x0001_N_x0019_ÝÏ?ÒýºBÏ?_x0012_7¯_x000B_úÉ?HrvHÎ?½%´M_x0002_×Ë?Y©_x0017_1®ÓÏ?_x0016_S_x0002_ÿÛÉ?&gt;+¿_x001C_¿êÊ?BÅí¬}_x000B_Í?ê+Å·CÌ?ý×ëEÎ?[û²%o_x0011_Î?ý&amp;¯_x001C_ö¢Ì?Î; _x000B_1¦Ï?R*h8ÐzÎ?\_x0019_ËjG_x001C_Í?Z.çJdÊ?@ßqpÿÎ?t_x0012_ÉÂÉ_x0015_Î?NWc"Ì?F_x0006_þr_x0018_Ê?­_x001E_&amp;µG_x0008_Í?_x000F_Ê_x0010_½õÍ?£tI_x0001__x0002_2£É?ØoÑ«%Î?"Lj¢¢SÌ?çù_x001B_Wv.Î?Zòh_x0007__7Ì?oÁ_x0012_ê'%Í?ãûc¼PÎ?_x0002_X¢_x0017_À¦Í?\2$yÊ_x0003_Ð?Øô_x0006_£)YÍ?~ýöå_x000E_Ï?ÎÇFöi
Ð?äÕHlÈÎ?_x000F_ìú&gt;ñÉ?ÿFRW8Í?Yã3©:É?²_x000B_ÝîýÍ?ò_x0001_í8þÌ?]_x0005__x001B_áÉ?nýé³ãïÎ?WÏ­ÛT_x001D_Ï?7_x001F_	Pí&lt;Í?$LßQ_x0018_Í?ªðs+ÞCÊ?º_x0018_+_x0001_£ÒÎ?æ}pm_x0019_Ì?ô§?f×Î?xÔðEÊ?(äÖ±Î?!cþJ_x0014_ßÍ?!i/å²Ï?H÷ ²B(É?_x0002__x0004__x000E_3_x0003_ÎrÍ?¢Ù¤%z´Î?¶5s_x0015_EÎ?Äõ_x0002_ñPÊÊ?_x000C_¶þ7Ê?³(ÙÏ_x000C_kÌ?­"«iÂØÍ?j_x001B_É3ôÍ?Íl?8_x0010_Ì?.&gt;_x000B_GJÌ?ÉùgÏ?úa:ÅtÌ?£Â_x001A_aÍ?X1²ð_x0005_Î?x²xî_x001B_Í?É»§_x0008_´ùÌ?r)j·rEÍ?Lò_x000B_ê)æÏ?l}ö9ËÌ?Ãz3ó2Í?eÿ­ñA;Ë?»*Â´ÂöË?pR×,_x0007_!É?"_x0010_ì)8Ð?ùþH_x0004__x001E_Í?,Â_x0001_¿ÒÍ?KGô¯ï?Ð?4×¤æyÎ?VàÉ»&amp;Ì?r&gt;;Ü·Ë?&gt;&lt;ÜN_x0019_RË?iùmï_x0002__x0004_86Í?_x0015_n6_x001B_8Ë?Î4²_x001C_[,Ê?_x001A_PRx+Í?b©âÞwZÍ?tÌêkÊ?m_x0008_Þ;_x0001_Ð?_x0013_ëár_x0006_~Ë?ç³ÌQ_x000C_×Í?×X4!îÌ?Ì¨_x0007__x0016_Í?³&amp;
áN»Ï?»k7.`Í?8_x0007_Í½èÍ?¤ó&amp;	,Ì?Ö¾wXs3Î?_x0003_Î¢_x0018_íË?SãëàOÌ?Ãó_x0003_+Í?&lt;È[çùÍ?ä´GØ®\Î?Ê&lt;V=v+Ï?'2_x0001_eÀÌ?&lt;µHj©Í?*jÒü³eË?o°%_x0002_ÀË?ê_x0013_k5_x0002_Ì?rMøQøÌ?&gt;Üû%
&lt;Ï?_x000E__x0012_\ÑË?è~_x0017__x001A_^ÖÎ? Ó+Ú_x000C_4Ï?_x0001__x0003_B_x0016_ú®ç&gt;È?_x001B_½_x000C_5RÊ?_x0010_rCÒ;Î?P]Í[ËÏ?/ßç*Ì?CÀ_x0005_q_x001B_Ð?_x000E_~G¤Ë?Q_x001C_iÎ?ëö_x0013_ÙÌ?y¦_x000C_õ¬Í?_x0012_½ßÄÎ?ÔÓòÂ_x0007_Î?P½ÐgLÍ?_x001A_&amp;r_x0006__x0003_Ï?^îH
@AÍ?.Û¾Ï×Ë?Ôí
ì_x001A_Î?L¡&amp;@_x0003_{È?Uw´$Ù^Î?§¡_x0017_¾yÏ?â£è²NÐÉ?À¹ØM#ÉÏ?¢ßóòÎ?þj_x0012_õ§òË?ò_x0008__x001E__x001E_ÃvË?ÄûÍ?EzñX_x0002_ÍÎ?!l¢	ßªÍ?6_x0016__x0017_¯ãîÎ?_x0015_f¯_x000C__x0016_&amp;Ð?RIeÛdWÌ?%H?_x0002__x0004_ª_Ï?WZb:^Ë?¼7÷ æÊ?(¸FwÍ?Ða5Ã¦YÊ?¤_x001B_l
_x001B_Î?[z_x001C_¹Ì?Oò_x0014_ÛÈ?LÂ!YÎ?#8_våÈ?Sî@W-4Ê?vÛ»g_x0015_Ð?°Ñ_x0001_\
Ì?÷ß~Õ äÍ?Â_x000E_ìº^Ë?Í¤&amp;VQ:Í?\å£Ý¡Í?¹üb2yEÌ?_x001B_97$]Ð?_x0006_¿F@Î?ý´¨Ð?|Í?b0¿Þ;UÌ?ó_x0012_îÌ_x0015_`Î?±_x0017__x001A_Ú¿åÍ?KºO|«_x0003_Î?ðµvlË?¬_x0003_Y_x000E__x000C_Ë?¬_x001D_0lÖ~Ê?xsJM_x0015_Ë?vW#åÒÌ?&gt;¦n&lt;ÝÎ?ÊMQæ/Î?_x0005__x0006_v_x001B_lr_x0017_Î?=3ú_x001F_::Ì?ÚU_x0017_ÑdÍ?_x0017_y_x0008_ÖÒ£Î?~3ÄàNÍ??KyXKÎ?j_x001B_
¥Ì?nþ_x0017_âÏ?_x000E_­_x0003__x0018_Í?fø¥®?Í?hu½µÍ?÷û_x0007_#µÌ?F©_x0004_[.É?cÝÐZcÌ?¸,_x0011__x0018_Î?9ê?óË?[ÉaÜÎ?NÃâí7rË?çïØÎ?÷¢²_x0019_Ô_x0018_Ë?`üÒÒoÉ?ö_x001B_|Í?¶ö¶_x0018_ÙïÌ?ÙÞ_x0001_LÊ?aWÕKvÍ?®r¨ØÊ?Ê_x0016_DMRË?_x000C_bB5_x0002_Ì?³wî_x0004_Ê?¡Ï`VÎ?Dzm.&gt;$Î?ÈßX£_x0004__x0006_ó»Ê?&lt;§cÐoÊ?pì4¿Î?ÊådiÊ?hÃ[êÐÌ?¶§ÞoË?)û&lt;_x001F_BË?Ihñ*^Í?8i_x000F_+hË?an2HË?×¿u_x0015_VË?¿ÌéSt_x0007_Ì?!ÝÄSÉ?½Ú_x000E_²Ê?.Ñp8¸Ì?_x0004_²iëk*Ì?y³=Õ¹Ì?f`_x0005_c#Í?ÃÐ_x0010_©z_x001D_Ë?µ 7µàAÍ?CD²înÁÈ?abU©Ï?k±R&gt;&amp;_x001A_É?tþuF3Ì?^_x0011_ôk¹Î?^_x0003_w&gt;­Ë?ÞT·nÏ?g_x0003_Ñ9Î?ÔO_x0012__x0002_ò_x0001_Î?Ìy%q«Î?_x0008__x001C_BÄ)ôÊ?9WÛrçÌ?_x0001__x0002_íÓOæSÍÉ?¬Ìo¼Í?V_x000F_ñ_x0014_$ÚÉ?_x0002_T_x0013_sGÉÈ?Ýù_x001D__x0014_6ÀÏ?®¤³øïÍ?Jí'r_x000C_äÌ?éãXÃ/¡Ì?lÅL\òÏ?OÙÊ]|@Ì?9_x0012_ó_x0014_ÕÏ?°_x0004_oFÍ?Í_x0006_Çã_x0005__x0014_Î?`}_x0004__x0002_CÎ?_x001E_ñ:Ò'Î?_x0012__x0008_%Ì?ÛÏírüÎ?b _x0012_©_x0013_)Î?§"s¨õÎ?-Ã^?ÎË?Yw_x0011_á²Î?:5_x0003_:ÃÍÍ?3z¯"_x0010__x000C_Ê?_x0015_áñ72Ê?¡Ç}_x0004_LÏ?_x001B__x0004_´A¢É?ØÖA¹_x0006_PË?ØmÒ£öÊ?DôÃ+`Ï?×_É·_x001A_Ì?¡r}½`®Ì?[_x000F_=_x0002__x0008__x001E_,Î?@ådÝ_x0002_ûÍ?_x001A_ª_x0007_!TbÍ?ÔØ_x000C__x0016_ Ë?_x0010_yrïó½Ì?_x0005_f¤J?_x0008_Ð?	óþ_x001C_¾Î?'z(_x001F_þË?_x0012_ÉE¸Í?x_x000E_ôw_Í?yyÊ"ö_x0016_Í?Ít.dïÝÊ?P÷%_x0001_É?_x0004_ÒðmÏ?å_x0001_FwQfÊ?à_x0005_kNlÍ?
_x0016_õJÐ?Æ»º WÍ?[Û_x0010__x0016_ÞÍ?L_x0004__x001C_/Ì?2±#èÏ?&lt;É_x0004__x0017_qbÈ?Q§ü_x0008_ÔÍ?­`h	ËMË?_x0013_hÕ3[_x0005_Ì?Ö`ÖË?_x0003_)_x0006_Ë? ¶ûèßÌ?UÓqÍ?#{R!¢Ì?ÀlÅ_x000E_GÍ?_x0008__x001A__x0007_tQÌ?_x0001__x0002_Â[IçFÌ?J_x0014__x0010_m`ÑÏ?7¥"_x001B_mÍ?8{S©_x0016_Ë?_x0004_ír	hÍ?ç$¯_x001E__x0007_Ê?´^2·*DÎ?_x001A_ºº¿Ê?&gt;óäì¶Î?í_x0011_{ÕæÉ?b}_x0010_@@xÍ?Ôv¬e@±Ì?°_x000E_j_x0011_1Ì?æ	_x001B_ã	9Ì?K`_x0012_Å_x001E_Ì?ÃòqRe_Ë?Éò_x000B_O_x0007__x000F_Î?®d&amp;o-Ê?&gt;ÄÔÍ_x000B_É?b³2u:Ê?\_x001D_­ÙSË?_x001C_\Ã&lt;&gt;ÓË?à(&gt;§_x001D_Ì?Û_x000F__x001B_§ÛÊ?à¤ÉK$­Í?X¾ñC®Ê?:_T_x0016_àÌ?Ùä_x0006_ *ÃÍ?_x0010_.m(«%Ï?_x0018_úÐaúçÌ?äq_x000F_¿#Ð?_x0018_R`_x0004__x0005__x0004_6Ï?ð`ÜptÉ?.Ðù:¤Ê?:o|GgÌ?_x0016_&amp;2Í?Ô^*{_x0006_ÊÎ?â_x001F_ZÈ_x001F_eÍ?KÊ(×½"Î?sÀñé-Ï?FzÂÅ5§Ì?ÈaI!æ	Î?¾~O¬;uÎ?_x0012_ç²iÚÍ?_x0003__x0013_r]îÍ?_x001D_Ó?¿0ÜÎ?lÔUE"Ë?¬Í~íCÌ?i[b¥¿ÿÉ?RÓgYÉÌ?J³ìSÍ?T·¿_x000F_ùFÏ?ÐvÝ_x0002_NÎ?)¡¶_x0001_ªÊ?î^ÅõÍ¯Ï?qVÎònË?é_x0013_ö_v Ð?Ð;V\°ÑÊ?¼«Ù§øÀÉ?_x0014_g!?üøÍ?4Äc¯fÎ?Þ_\	~Í?Azäö_x001E_Í?_x0003__x0005_m³1_x001F_Â_x0002_Î?²ì£_x0017_HÌ?&amp;êrÄË?Mf+y Í?æ¯g_x0012__x0010_°Í?_×ËQµXÎ?Rà¹ùê;Í?_x0013_ízÇ_x0005_Í?ù/uí¼Ë?¶y¦Óû&lt;Î?î$û&gt;_x0012_Ì?èØ¸b._x000E_Í?oõ_x0008_[Î«Ì?_x0006_Ó§À1_x0004_Í?yÂ÷kd?Î?âµ8Òô)Í?-Ýv_x0013_æ_x001F_Î?ÒÀ`½¾Ê?ò2Âð×úË?on_x0014_¥¯_x0014_Î?_x0018_ÅôÔ×AÌ?I_x0012_ÚË?!AôUAÎ?JöYèdÎ?_x0001_eEÔ&gt;)Ê?ìHVÍ?M2_x001B_o»Ì?¢Ï_x0005_ê_x0003_Ì?ÏÁC.ãÌ?nºV°Í?­S?PÊ?ØÎà_x0002__x0005_¬·Î?=#{êÅÏ?´
±9_x0019_cÍ?Ê×¶Í?D@Î?Ï	àº@Ë?¤÷õUC`Ë?__x0003__x001C__x0018_úLÉ?Ò^øö¸NÌ?ØÚý!§|Ï?`Ê_x0016_%È?_x0008_w+hÎ?ØÒ_x000B_ÏÍ?rª_x0012_¤5ÃÌ?F$¨`{ZÌ?,!y\Î?ÞÎO½n2Î?N·­O_x001B_¸Ë?Õ&gt;Ó)pØÌ?pÏ_x0002_Í²¾É?ÖÑwéÎ?_x0004_æëU=wÎ?x¦_x0001_¤ú_Ì?_x0008_*ËáÌ?q&lt;íåAÅÍ?ãÏnó¡_x0007_Í?JêqM[RÎ?ÚD´_x0008_m³Í?V¢}_x0008_Î?e~]{y_x001A_Í?JÚ$&gt;Ë?)RÞz5_x000B_É?_x0003__x0008_ÔkË'V(Ì?t½Q/jÎ?´¦/þ_0Ë?^@ñiW§Ì?3Yt¬ØË?mà©a
Î?TJþ­Ï?ÿ_x0002__x001F_5¯Î?Ø¬_x0001_=ÅÜÍ?8®ÜïÊ?b9_x001A_£Ï?¤ñl'_x0011_AÊ?0û¼
¶Ê?+XìKÜpÎ?_x0016_sxruDÊ?_x0012__x0018_p_x0014_O_x0018_Î?¤ScýÏ?n¢­_x000B_¨ñÍ?Lô_x0006__x0004_«Ê?µt@ïÄÎ?èr_x0014_¯µÉ?cÒ#b?_x0012_Í?"f2aÑuÌ?¸­r_x0012_`ÂË?;&lt;_x0007_;@_x0005_Ï?Â}B_x001A_¤Ï?½"_x0008_[¯_x0014_Ê?¨_x0005__x0008_¥iÏ?}¯ôTÎ?_x0019_ü]_x0019_ßÿÌ?!*&amp;¶¨õË?ö':e_x0001__x0003_9ÒÌ?«`m_x0014_#Ë?PAîÂÍ?²?0_x001E_&amp;Í?ÌùðE·Ê?äð"µÓ_x0006_Ð?¼ù»½`_x0008_Î?nÒ»âiÌ?û²_x000E_!Ç×É?·_x000C_*!pË?è@ìð _x001E_Ð?_x0016_cy4Î?ôà¡ñÍ?¿ã@=Ë?ºR_x0016_)ÌsÌ?ýáõ5 È?±ßÖuýÊ?©ÀMæcÎ?æZö£¶Ê?_x000B_À¢æ¹_x001A_Ë?É*íÈÝÎ?év¿1,Í?¤¿£ÿèÏ?W-¶_x000F_	¦Í?_x0001_¼¬t_x0016_ÝÉ?Pösî§*Î?(&gt;Ó$«Ë?¯_x001E_I_x0006_/Í?ÿ`ÝjUÌ?\%-PZÏ?Þ0_x0013_lÔÎ?RoÔä_x0002_AÉ?_x0001__x0002_k4³ÞDçÎ?U86Ê_x0012__x0003_Ë?_x0010_ gE_x0014_ëÍ?V×¨ ]®Ê?À{­lÎ?3'ç¤Ì?ô[#IH Í?,_x000F_¯UUÊ??ÿµàÊ?z_x000B_@©ÆðÌ?JiOÒpÏ?_x0017_Ç¡eÌ?×)_x001D_'EUÍ?Âi_x0004_S7îÈ?X«#uFÎ?½_x0012_)»'_x001E_Î?_x000C_ÌÿÈ~eÎ?YÔTTÈÍ?&amp;å8Ç÷äÍ?GÈaf·Ï?_x001C_fÅ}_x0001_Ë?[ÿPÖÍ?ÖÏÏ_x0018__ÛÏ?qÍZCÎ?V}o1_x0003_Î?hTVý_x0016_yË?|Òb*òÎ?ÔKr°ØNÏ?¸#é_x0012__x001A_@Ï?ò-2ñ_x0011_Ï?på±-³Ì?$_x0018_._x0001__x0006_}ÂÍ?'ÿ_ýÙÍ?l©pªú0Í?sW3ÏÐÌ?_x0008_²_x001F_¿åeÏ?@?y­6îË?ó¿'Ô_x0008_Ì?³Þ¡Í?_x0018_ 3Ð?±ÅnÎ
äÎ?µUý_x0015_°\Ï?$»ÿ*üÌ?ö!JéÏ?¥ú$É?ó0÷Á×ÉË?Ð¥tTÄÎ?_x000E__x0016_£lö:Ð?]?&amp;}Î?"Ä=6Î?
@ï{Ì?_x0007_úßrÍZË?¦¼wHÍ?°?kc¾£Í?_x0019_^ÆÌ?JÅ_ï~¨Í?_x0014_oy$Ï-Ê?_x0005__x0019__x0010_áWÈ?ôÊÉ®Û!Í?sËhõ_x0002_PÉ?_x0014_i¦~Û÷Í?_x0004_ò_x001D_Ö9³È?¬_x0003_§*þÍ?_x0005__x0006_ê &amp;Þã_x0012_Î?Æh_x001A_(_x001F_iÍ?,/q_x0012_¡ùÎ?_x0001_ë_x001D_  Ê?ÙÑ6Ì¨ÁÎ?fÕ_x000B_¬_x0002_ìË?°?[æ×éÎ?]Ú4¿àÍ?Á£îÕé²Ë?\¸Ã.C_x0002_Í?_x0006__x001C__x0011_ÚÎ?¡F_x0014_óÿnÍ?MýßfZKÌ?_x001D_|$uÝÌ?OËG¡_x0011_ÕÍ? ö»aÍÍ?FXÕ¥±¢Ê?Tn×zÉ_x0004_Ì?0ï^_x0019_­É?¸&amp;rÍ?Q	ÆyÍ?(4·Î?øëë¦8Ï?ã_x0003_æÈÎÎ?:4_x000C__x000E_Ï?RFñNÊ?f¾Ò¦Ë?qw#×_x0017_ÝË?H¬h^ÛÌ?1_x001E_fgßË?4ZÞ|_x0002_¸Í?¸nû_x0013__x0001__x0003_ÒDË?Fô?¸muÍ?'^´¯ò#Ê?F©RxN4Í?=Ê"F_x001C_Ë?Y«ÙàÏ?_x0003_$üA_x0012_Ð?é_x0007_y)FñÊ?TÝÉ?¢»Í?KX ÌpÍ?EÆl_x001C_ÊÍ?Ü¿KýhRÍ?\×¸y§Î?Û%}¬Ì?$3³ñn­Î?ºÆácÍêÏ?mX÷_x0015_jÍ?½rå¶MæÌ?Üö«_x0003_£óÌ?_x001B_`¼ÔÁÍ?,¢©ùeúÎ?Øy@µ_x001E_IÏ?¼âx&lt;´Í?±Ò hUHÊ?Wéb_x000E_éÎ?ÄPåvý¯Î?.µ×S)Ë?·\dD_x0006_Ë?N_x001C_?_x001F_[É?_x0011__x0013_hÍ?F5F|\Í?èÌ½_x0010__x0002_SÏ?_x0002__x0003__x0014__x0015_0µË?¸blWÊÌ?b}öm_x001E_¡Ë?üGî~öÉ?µº¬ÁÎÈ?æh_x001E_o_x0018_Ì?JS_x001D_A®Ì?þæÄiKÍ?Ngaaå.Ë?_x0017_³_x001A_ÞÊ?¸_x0010__à¶ÑÉ?Ë@êlúæË?¾ÛZ_x0006_RìÊ? ÀÖÞnÅÍ?oÇ_x0015_¾o_x0018_É?ÎDé&lt;RÁÌ?¨èú7PÏ?_x001A_æ¾4UÊ?V©Û_x0011_Â_x0003_Î?_x000C_¦FÃ-ÆË?.Ô_x0010__x001E_&amp;_x0018_Ï?§ñ_x000C_ç}Ì?°_x0002_S8dËÎ?_x0007_R¹_x001A_;¤Ë?_x0002_ .î_x000F_Ë?á-R_x000F_z_x0019_Î?XVuN_x0005__x0002_Î?_x0004_µ_x0001_$¥Í?)Ü¨óÎ?]xÛU6hÉ?3_Ài_x0005_Í?¥Ê_x0010__x000F__x0001__x0002_[IÌ?_x0008_Ñw'ôpÊ?_x0017_Ø]_x001B_DÏ?üÿ£:_x000E_É?;_x0015_L¬_x001D_bÎ?stCªÉ?o¸	\5ÖÈ?_x000E_ßòcµvÉ?!Dq1yLÌ?Ü«²BGwÊ?c[ç_x0015_ñîÏ?Ööz¿7_x0014_Í?¼ÔÐÍ?ì::æ_x000E_ÍÌ?6TÛG²Ì?ÔÀ¥,ìÌ?t[Ö_x0004_ÜüÍ?iJ«CT\Ë?jY¥Ê¾Ë?-7Xú²¹Í?ôV¼d	Î?%¥n_x0006__x0016_Ì?£[²x#1Ï?âýI®¾Í?®+ÎÞÌ?äRdîFpÍ?Ê_x0007_{Ë(Ï?_x001B_äëÌh&lt;Ê?|êPIºÌ?2éyÅ_x000C_sË?®g`Ë?±ö&gt;_x0015_¡Ê?_x0003__x0006__x001C__x001C__x000B__x0002_~Î?PHq_x001B_,Ë?¬SÀ¨Ê?i|zP_x0001_GË?ãß_x0011_Ê®Ë?À+pM)¢Í?_x001D_Ù&gt;_x001C_Ê?ÜÅÚ5'Ì?+VüÍÌ?j0ã&gt;}Ê?êóùÛ¬È?k%îYÎ?_x0012_´³ 8Î?P¯ò]ÜüË?Eì3dÏ?_x0005_ªùªk´Ï?â»\ÆÌ?³9¥Ð½Ï?"ýã`Í?GÐ°A¹_x0006_Ë?yÏæ&gt;h{Ë?L_x0005_R­ÕË?í·_x0004_É²¤Î?XfêÑéàË?Îøsq¢´Ë?_x0003_Úü_x001A_Ï?ky3 _x0010_ Ì?Ú,ã_x001B_tÏ?0È`EmÌ?×{êí¿Í?Þ_x0011_I¾ÑËÍ?°÷_x0001__x0004_x7Î?YÓ&amp;û¡Ì?ä[çÛ
_x0002_Ï?Ëòz?_x0003_ÿÎ?ìÙN_x0013_¦É?$cX³õÌ?O_x0018__x001D_Ë.ÏÌ?*ÐdÉ?V¨Õéð8Í?M"YÉ?sÿøì_x0019_zÊ?¤_ÈØ Î?_x0006_Õv_x001E_hÍ?ªX¤[Î?CyÉ&gt;µÛÍ?!_x0014_OW_x0001_Í?ÈpúÚyÌ?ÏNOU_x0015__x0007_Ë?÷máÕ£È?_x0012_Ñd_x000F_×äÎ?ÚëzÐãÊ?¦@þ¨ãË? ÆÑ%½_x0012_Ë?U/ß¹_x0004_ÔÊ?uçþ ÃÊ?@ç^MwÚÊ?Am÷­³È?Fà£n%Ì?O_x0012_
	U_x0010_Î?¬°_x0008_'©VÁ? ñ{È_x000B_Â?ÈèÊvÊ(Á?_x0003__x0008__x001E_
ÏPÀÀ?_x0010_¸0{Á?Ú!»r½Á?*aêÃÀÀ?ØYQ	Á?_x0014_tý¨qÑÀ? qÃG_x000F_Â?ÕÇ|ÞL§À?Hxg·hÂ?©çLnÁ?Ø¬_x001B_øÊPÂ?_x0014_È2S_x000E_Â? ïª­É_x0019_Á?·«D¸Á?_x001F__x0007_;A_x0014_»Á?_x0010__x0018_è+À?_x000F_t´ZèuÁ?hx®_x000B_ÄéÁ?»_x0001_,K{Á?&lt;6ê·Á?_x001C_&amp;Å_x0002_ÅÁ?Ns&lt;»nÁ?®	-À?Ð¼­gÁ?ièKáµÁ?ã_x0007_?®äÁ?ñNtõÌÀ?_x0004_º:Å_x0005_sÂ?O_x0007_øH+HÁ?RÌ_x0004_!	Á?}¹­×Y_x0006_Â?þv8_x0002__x0003_ð"Â?{\+{_x0004_`À?¡¤·_x0014__x0011_Â?Ñv+1ÇPÁ?ÀÓî|nDÁ?z×r+Á?Úâ¯ Â?ÂuaÂ6GÁ?ûh`²UÂ?qÜ(ï_x000E_Â?VûÁ?ÝQÓqÁ?¢W­lÁ?þÕ&lt;n(Â?¶ö£@_x0018__x000E_À?5_ó]úÊÁ?ÿ_x0017__x0007_³u_x0010_Â?KNUeÂ?÷*	|pIÁ?ê«]C:.Â?}_x001B__x0005__x0001_&amp;¦À?_x000B_pr¼áÆÀ?W@eDÂ?4^¿ï
§Á?Þl¥ÝU_x001C_Á? ÏÍ¹CÂ?_x0002_ÃÕwùùÀ?/R²_x0002__x000C__x000B_Â?Ú3®À!ÞÁ?RnÕãÁ?´õôÆ_x0019_tÂ?)¦4¥Á?_x0002__x0003_Zi*¸»¿?ñ}M{ù_x0011_Â?7D_x0002_´À?Sñú¹xÁ?_x0001_cí;¯Á?Í,m_x0007_-öÁ?cM_x0014_¬À?QÝ	èÐÁ?7,[?Â?`s_x0019_ ªÁ?:±o½Ï¾Á?,¯¶QÂ?Ý!GOÂ?¼AÝßW_x001A_Á?]Øpw®Á?V_x001D_õ»ÚÁ?ûéJdÁ?¬xáúÁ?_x0011_õ¿Q_x0017_Á??&amp;Ã¯_x0011_Â?N^_É*Â?_x0004_Âp4åÁ?q#¸Á?F*ÂpýÀ?ës×÷	Â?Ô÷uÌ#Â?Ø_x0019_\ÎøÀ?{ër_x0011_Á?k)¬º+Á?Zòý·¤À?l­+ÖyAÂ?adZr_x0002__x0006__x0003_uÁ?ºè=)èúÀ?×[k&gt;_x0001_Â?_x001E_¸ÑÏ«_x0017_Â?&lt;BÁeªÀ?(Yú_x0016_+,Â?´ô¾ÊË¿?&gt;f_x0004_#ËÀ?Ó®_x0019_¨¶0Â?W/_x0007__x0010_¯À?ÖfØº_x001E__x001D_Â?3½Ç×õÅÀ?è%V¤*+À?n_x001B_ÃcB&amp;Â?½«¡÷6:Á?í©}Â?²&gt;_x001F_Ç_x000E_Â?:ÅêÔ	+Â?ú_x001F_)!^¾Á?Ô­X_x0002_B_x0016_Á?ì¯ÈÞmÁ?_x0019_f_x000E_z÷Á?òuË`1_x0005_Â?
­_x0014_R\Â?-_x0010_õR½À?Û8_x001F_xk_x0015_Á?_x0004_$u=Â?&amp;ôÅ1=ûÀ?_x0017_¼_)oºÁ? ×øÖËÁ?\,y&amp;O¢Á?_x0012_èâøWpÂ?_x0001__x0002_lWW¬½5Â?-Ä¡º\Á?½LÌðÁ?ô_x001F_hÓW]Â?ÞÁî½X_x001A_Â?_x0002_|C½8À?g_x0002_§rÍ^Á?_x0005__x0016_@Á?bªýMæñÁ?¨Ç_x0013_á¹Á?ÙWKÁ?â§ÕgÃuÁ?_x0016_WB_x0001__x0008_Â?E_x000F__x0008_
7ºÀ?2X_x0002__x0010__x0011_#Â?ïÃÐ:º¼À?Ö_ì¦_x001A_Â?v5	û$Á?`òå_x0001__x0007_zÁ?ÌVû5wKÁ?'ÇÉv_x0018_À?ßÑGN)À?_x0015_Ì1Â?!¾Ù¤_x000C_²Á?½dýÕ_x0006_Á?³_x0002_&gt;Á©Á?ä_x000E_|ñÁ?u¦»îÁ?åÐ±5$xÀ?EpCïÁ?Öïä_x0006_I_x0006_Á?·¡Þh_x0001__x0003_:dÀ?EQ°_x000B_d_x0007_Â?ë2­rõRÁ?®çO_x001B_¨Á?ÜÛ_x0004_Ó§Á?±¥Ñk»À?_x000E_ÚÒ-Á?7þð_x0002_ÐÀ?_x000B_úO$³Á?_x0004_zL
4Á?È @Ð_x001D_À?ÌgºÄ[Á?_x0005_ªlÃø¹Á?ao_x0004_¹»åÀ?SÝqzZÁ?ó_x001A_¥ |Á?z._x000F_ãUÁ?ôåÜ¸È_x0012_Á?ã_x000C_"÷AtÁ?_x001A_qÞ£Â?_x001B_,óÃ_x0006_Â?ãyÖ8Á?_x0001_Y¸Â?&amp;öËÁ*Á?_x000B_ÇBÅÙÁ?Ø±B$IpÁ?:U=ÍéÜÀ?KôÁí?Â?_x001C_ÕùIWÉÁ?µ_x001C__x001F_i®Á?AÁXD_x000E_¡À?ÚçVÏ¨,Â?_x0001__x0005_§ÊÄTxIÂ?æØ]±_x0001__x0003_À?$_x001B_þ_x000B_"GÀ?Ç_x001F__x0017_¡_x0004_^Â?Á_x0014_ê;³_x0002_Â?Ô½_x001E_áQÀ?J¡Ú[ÊÁ?_x0001_è_x0018_wÂ?1J5_x0016_SÂ?É_x001B_ð3éSÂ?£_x0008_Öd¡Á?Ú3÷ÇØ_x000C_Â?¶êÇè_x001A_Á?!_x0014__x0014_·×sÀ?{ú_x001C_4qÁ?Ì!bQ)ÂÁ?¼Árç_x000B_ÐÁ?Kýwâ¿Á?GV¶	jüÀ?¨_x001E_üè´Â?Áµ£_x0016_IæÁ?_x0013_+[ÏOJÁ?&lt;XµÀ?¿ñ_x001D_°´§À?É.[jÁ?%ßáª-ÛÀ?k£_x000F_¨æÀ?ÜlÖ2µÁ?+Z=_x0016__x0004_ÖÁ?È½d÷@Â?_x0016_c£f.ÓÀ?z¥CÁ_x000B__x000C_êDÂ?_x0011_]å_x0004__x001E_Â?YöI½8	Â?÷_x0008_ø_x0010_¨&amp;Á?ÂûõÙü­Á?fD,_x0003__x0016_Â?_x0002_¸ï_x0016__x0014_$Â?ÝZ_x001C__x0011__x0015_Á?!£f58Â?j_x0019_ZäöóÀ?+ÖÆ_x0012_@´Á?íÉ»ë$Á?þI¥V:Â?_x000C_Ì&amp;ü_x0001_eÀ?ù2±_x0013_íîÀ?ÂbÇ	g~Á?B÷d èÁ?ÐNÚj$Á?¯F©n"Â?îè§pXÁ?:8_x001F__x0011_þÀ?äè°ï)Â?ÙÈ_x000B_ô}rÁ?ðK2"G%Â?§»LH¥À?_x0007_KÀ»Á?Û³õ·@Á?é%íè+Á?¢y_x0005_ôÁ²Á?_x001E_©D^'Á?C7mYæ
Â?Èý_x0006__x0012_w7Â?_x0001__x0004__x0015_Ú)__x0005_Á?_x0012_ÀÇjöÀ?_x0007_È_x000C_{%À?¤+8à}ùÀ?T¶t÷6Á?MøÝÚ2_x0001_Â?NO{àxÂ?s·_x0017_0oÁ?Ón	_x001A_ Â?_x000B_üÈ+_x0017_Á?_x001D_Ú·Á?ªªºªÚdÁ?ðµïG VÂ?Ûê_x0004_íÁ?µâJÍ$âÁ?_x0010_ÄÑ_x001B_¢À?¨)gß§µÁ?'L_x0018_@$Â?_x000C__x0019_ò`ò_x0003_Â?ÑCh$ÌõÁ?ÔìK¨ó¬Á? *^noyÂ?ï;:â_x001E_åÁ?ì©_x000B_¬_x0001_RÁ?	"Þ2-#Á?¬V@iÈÉÁ?
_x001D_é*ÂsÁ?ËG_x0016__x0019_©Á?øb³ïÀ??àïÍsÁ?*És_x001A__x0002_Á?:fÝ@_x0001__x0004_æßÁ?;ÅrÊð_x000F_Â?íftÓÁ?¢{_x0012_n
Â?ÍDM´?£Á?[ß"_x0004_¬Á?ôÕ/_x0003_ÜÀ??l¦Á?åÁËf±Á?c_x0010_h)}_x0012_Â?·L6M:SÁ?b+_x0019__x0002_BÂ?ëú¤VL_x000E_Á?f~ _x0004_éÁ?Y9_x0004__x0015_ZkÁ?&gt;äßz»-Â?#olº	ÇÁ?_x001D__x0016_%_x000C_3Á?_x0001_Æ¼_x0013_`Á? ù4¦¨|À?_x001E_G_x0010_Õ*=Á?wM_x0007_Ì_x000F_!Â?'&amp;w/z£Á?{¨$×)%Á?7ATÉÐÁ?ÁbiÁ êÁ?§_x001D_SZ{±À?Ç¦_x0014_¤À?þT@_x0007_qÀ?$p}þøÁ?GNzæûÿÁ?´ì4+2ëÁ?_x0002__x0005_ôl§wÂ?ÔªA_x0004_gÂ?¤J¾ÃþÓÁ?È·N_x0005_¥	Â?oNil__x0019_Á?]Ü¦
|Á?BPõéèÁ?V_x0019_GÍeÁ?ÆÁ_x0014_Y~À?§îJÓÅÁ?ö(UN_x000C_Â?_x0005__x0005_zÅþÎÁ?¦Ï¡ê_x000F_À?n´§_x0015_"Â?®_x0002_Î?ÆtÀ?ö
æ_x001C_@ÏÁ?V°4Lû_x000B_Á?ñÁßÀ?Pr_x0003_Îö_x000B_Â?6é_x001E_`£_x0003_Á?û&amp;¿$ÏUÀ?gj_x001D_qüÁ?ó¬Ì30ðÀ?°@×to=À?	C	©ÏXÀ?\äÇ.Â?_x0015__x0017_Ù_x001A_E[À?mdx¸_x0018_Á?_x000E_êHóÀ?(xUð}Á?#f_x0001_ÌoÁ?K_x001C_²_x0002__x0003_À?H_x0017_µU^_x0013_Â?³î(UFHÁ?÷Lè®%lÁ?L$_x001E__x001C_*Á?ÒÔß_x0011__x0010_BÁ?;µO_x0016_ïaÂ?çqý
¸À?)_x000B_%Â?¦'_x001C__x001C_5Â?Kì¬þ¿Á?³`_x001F_ÃbúÁ?)xÌ_x001D_GÂ?^	-gÁ?Ø _x000C__x0001_©¿?zü%ÔòÁ?¸ÔAÎ_x0007_cÁ?Ýày6_x0010_Â?èU`_x0014_BCÁ?¤_x0006_£8_x0002_Â?î§Æ_x0007_âÀ?nÙ):ö Á?¼¸ ¾8hÁ?&gt;¯­dÙÁ?_x0019_fÈV?Á?ÝaRé_x0010_Á?3·?_x000F_ÁÚÁ?7A¸9Á?Q±n£®Á?Rûù;Â?ºÛ¸¥8Â?®íZ)!Â?_x0001__x0004_Ð_x001F_njÀ?giw»ÙôÁ?®«¾¶ºÈÁ?2*\nY_x0014_Â?tÀÝÁ?î&gt;Q®è_x0004_Â?¯T·PÈ~Á?°_x001B_ÉG_x0002_Â?bò¨äÀ?loâ´Á?ë1÷º¥Á?8»;ÄeFÂ?_x001C_hè7_x0007_Á?ÝÍ^EÏXÂ?­k42Á?ü_x0019__x0015__x0003_ÿÁ?tÎ_x0006_.ã3Â?z¾¥E_x000F_ÄÁ?h_x000E__x000B__x000E_&gt;LÁ?5_x000E_´k»Á?~_x0010_/¨°Á?
z_x0014_p&lt;OÁ?öô_&gt;1XÂ?ã[Æ	ØÀ?úbwLÖÁ?`ôUêÁ?BbøÁ?_x0019_æäoÚÒÁ?p¹(&amp;RDÂ?Ï_x000C__x0001_OÆ'Á?_x000C_h	ñèæÁ?C_x0019_f_x0001__x0003__x001A_èÁ?6_x0018__x001F__vrÀ?ïõ_x0006_dÎÁ?9-5|ïÁ?|A_x001B_a­À? _çL]ÿÁ?á%çÀ?GD_x0002_T4Â?¤Á0í_x0005_kÂ?_x0006_q-§@À?_x000C_S
_cÁ? YªÝñêÀ?ÐÊå_x000F_ñÀ?ü»¨?ýÁ?¸Ñé_Á?=ù36Â?3_x001F_é:_x000B_0Â?ë®n_x001D_À?×«Î¡þLÁ?NI¹ªxZÂ?_x001A_ôú²lÂ?Q®_x0015_sùnÂ?_x0001_N.tä_x0010_Á?{þÝ_x000F_KÀ?¡­}a¶À?F¼º_x0006_Q(Â?_x001B_3/R£ãÀ?C{`:e½Á?Rq´øCÁ?/c,ùÁ?ÍBoA_x0007_Â?ú¤M_x0006_1Â?_x000B__x000C_r»@)]Á?.1w_x0005_ø3À?¹´l×Á?_x0005_WNOÏYÂ?¾í§øIíÁ?ÐCÒet,Â?öD_x0006_·&lt;øÁ?m¾(ËEÁ?Ø_x0006_á_x0010_¿Á?(_x0004_Gd_x000B_ýÀ?Ù_x0003_ºøüeÀ?Er¾ÔÀ?¤"ãÿð¿?MÚ^_x001D__x0011_Á?_x0002_×Q­çØÁ?!F_x000B_LóÁ?_x000E_jbYFÞÀ?_x001D_;-_x000E_%Á?;¤_x0006_¤r7Á?_x000B_êIºûÁ?òð_x0013__x0013_Â?-¬_x001A_.À?¼µ2ÁD&gt;À?_x0011_ÑÌx0Á?r__x0001__x001D_WÁ?A?	úcLÂ?ù_x0007_ÄlIÀ?Cá#¯àÁ?á@;ô@Â?_x0014_`ÚÄéÀ?ç©x3ÈíÁ?_x0008_Ñ_x001E_3_x0005__x0006_ /Â?ªë1J¦Á?8Oö_x000E_äÁ?-êW+»Á?HòÛ8ÌÁ?_x0001_aA(C­Á?±_x000F_ú3_x0016_Â??¹&lt;ÿõTÁ?%E_x0014_ø_x0013_Ú¿?Ï5þmi_x0004_Â?¦Ó³_x000F_âÀÁ?éN»ÆÖÁ?[_x0012_ÜZz!Â?OÓÎ¶âÁ?ÞMÿ^Â?	&amp;I_x0014_wÀ?ª_x0008_~®O_x000C_Á?§^åê÷À?_x0001_¢[ðÑÀ?_x000B__x0012_Ìå_x0019_Á?üNç!J¬Á?à©¼lÀ?äÝjiÀ?g	áéÊÏÁ?,_x001D_´xßMÁ?äº()?Á?_x0004_Gýâ/Á?3°_x0004_ËÑ_x0002_Â?ßéj©ËÛÁ?=ðî_x000E_SÁ?6ûb_x0006_Á?%_x0012_ÿ_x0003_2`Â?_x0002__x0003_t]õQsÛÁ?_x0001_ MÞ¸À?I°rDßaÁ?zÁÛDuVÀ?¤£¿bàÀ?¥tßJÂ?JäH¦qÂ?Õº6#=9Â?3mB_x0018__x0007_
Â?ßüHËwÁ?½)ÕnÓ_x001B_Â?~çÉB©¨Á?ÐA N_x001F_å¿?®5+èÁ?²8ùüÁ?ÊÞh_x0011_$À?s«ËïlÕÁ?ïH²Û£ðÁ?h5Û_x000C_ÙZÁ?Ú_x0018_	_x0017_ÙÁ?è_x000E_cíbÁ?Êk_x0018_¶¼,Á?&gt;g@é_x001C_Â?n1VyÁ?_x000F_ªö	{âÀ?¤êí$~þÁ?5ÙôÞÁ?ü_x0007_ö)¼MÂ?ØaÐtÁ?¥y_x0003_ÅvÀ?ù_x0005_.£HçÁ?öªÑ_x000F__x0001__x0002__x000F_PÁ?îºÏ1ôyÀ?_x001E_.7`NÂ?áÁeo_x0017_ØÁ?R_x001E_gÝYÁ?ª&amp;YàÁ?r%R_x0003_fZÁ?\D~ÃOÓÀ?Å_x001E_úµÝÀ?¼6%¸Á?1ã I¶Á?®Mô_x0005_ñÁ?_x0003_Î_x001C__x0018_õÀ?k¯Ö5B_x0011_Â?N_x001D_ÿJÑÁ?b_x000F__x0017_=Ö¿?¼5&lt;°IÂ?_x0003_Ô_x0006_ß¼Á?_x0006_(_x0003_Æ¿?&amp;ëDÖÂÁ?AÝüYã@Á?&gt;_x0014_ÀüèÁÀ?d_x000E_lYUÅÁ?®ð^9¢0À?Eê_x0011_ü¹áÁ?oI_x0015_G_x001F_ÊÁ?&amp;Ö_x0005_,ß&lt;Á?_x001C_~;dòTÂ?q(å__x0013_ÆÁ?t_x000E_â[ÀÁ?sê§VSÂ?rë6¿C&lt;Á?_x0002__x0004_£Ä¡¢_x0008_À?_x0017_
§êWÁ?×OÔ_x0015_Á?Ä¹ý!_x0010_À?Î_x0002_=Á?
wÔåoãÁ?Ø8 ÈáÀ?´_x0019_¸1EÁ?3h­{Á?â;_x001D_¾agÀ?_x0015_NøüÙûÁ?B9­Ó§Â?Ôû¿ì_x0003_Â?×h²¾_x0006_2Á?ÚI Á?µÎi_x000C_kÔÁ?_x0003_Õo=_x0001_Á?µæ_x000F_xy1Á?Úê@c'_x0003_Â?Î_x001D_	ÛÇÀ?úó_x0015_¡º_x0018_Â?_x0008_0ûìÁ?ÏRsÍwÚÀ?)_x000F_ºÅÁ?rÅ_x0008_yCÁ?Ü 1m_x0015_lÂ?ra^ê¶ÜÁ?k_x0016__x000E_h_x0016_ìÁ?ÔÝ_x001D_;
ÝÁ?x1½ß¬ÖÀ?_x001A_¾o;ÉiÂ?8Â_x0003__x0004_cVÁ?&amp;=_x0002_mÂ?ãøg}Â?õÖRÓøÁ?ß.ºr¶´À?0¬¾îËÀ?Ðe*ÏeÂ?ÔuäÀ_x001D_ÃÀ?®÷ó_x0012_ÎWÂ?±¶5Á?qQ·3_x001E_Â?®è3Á?TÞÄ,û_x0011_Á?_x0001_lOd_ Á?w8ËÍÔOÂ?×_x0007_HÅÙ_x0018_Â?ï_x001E_¯ÓàiÁ?j÷-Û_x0017_Â?Ä»L¬Ð_x001F_Â?$W;liÂ?n!_x0015_5ÑPÀ?_x0008_:
 )_x001E_Á?mÞ£[ê¿?B ÉE¹fÁ?"5_x000F_G]Á?&gt;_x001C_ÛØ_x001E_[Â?v5}´·BÁ?ÚWStÄÁ?ÞTGe_x0015_Â?¤êÈöÇÁ?IØÔÆÖÁÁ? ÏþMêÈÀ?_x0001__x0002_ê]_x0007_By_x0014_À?4³M_x0018_HìÁ?³L_x0015__x000B_NxÁ?_x000F_&lt;E¾ÕÀ?_x000C_àð\tÇÁ?ïbúÁ?Ei¹.IÁ?°_x0012_]¦ßÀ?äqG¡¯Á?HnÊºâÁ?¿ÅËD·À?ä_x001A_ò_x0001_FLÂ?ü³ôA_x0018_Â?	\Q5Â?GgÇ°Ù³Á?Ìè*I;õÁ?e_x001B_£Â½`Â?_x000C_
»
íÀ?a¼?5_x0010_fÁ?&gt;Ç^_x001A_¹¡À?_x0012__x0015_îwÂ?¶c¶½ôgÂ?Ò	@ùXÁ?¶1ÜDÑFÂ?u&lt;Nõ+yÁ?Ü!ºÇ¶Á?s÷´yi_x001B_Â?ÎÒÈ)'OÁ?	¨vgqÁ?xÃxt£_x001E_À?àJHj×À?Ü6.â_x0001__x0003_N÷Á? q^|_x001C_Â?_x000E_¢_x0016_H¯$Â?áNÕýÀ?Y§¦±¦_x0014_Á?6¤F³DîÁ?j½¤?_x0003_"Á?c9\/@mÁ?AØöÁ_x001B_òÀ?ôÀ_x0013_%wÀ?¢C_x000F_|À?&lt;³rÉ_x0019_&amp;Â?É¹±ÇÇ_x0017_Â?Æ¨ä®ßjÁ?¼ÔÝäÌÁ?_x0008_'_x001B_ÆëÁ?íáûnõ)Á?¯{¼g_x0017_FÁ?
Ö¾ÃwiÂ?ñ_x0015_þp_x000B_=Â?OoN¯ýÁ?Sà~ËºóÀ?¼±ãB_x0003_Â?ÝD_x0002__x0002_Á?_x000B_¶O¤Á?l_x0016__x0006_ÔwÅÀ?}_x0019_Ï_x0011_À?_x0004_:BDV.Â?_x0014_'Ò_x001F_XTÁ?_x000C_
×2Â?Ñ_x000F_ªòÁ?+øî¯vÁ?_x0001__x0002_MJ¦ú~iÁ?¯*L7Â?_x0018_ÆË4ì_x001A_Â?_x0013_þ^üHÂ?X"/y _x0014_Â?µÕ¼ÒFzÂ?c]êhäSÁ?hÆG_x001E_Z£À?tåMâ`À?G_x000E_¢ÉÙÀ?_x001F__x000B_ñH¶Á?Ú_x000C_ÒíTòÁ?n×üÀ(]À?É_x001A_s#£¢Á?®ÿØe_Â?g`o¦o)Á?_x0013__x001B_ÎE_x0004__x001C_Â?ÔSèJÂ?Þ{ÒÕXçÀ?õùÚÐâ£Á?Ù/êí¯æÁ?Ò0ãËÃ°À?_x0016__x001B_t&amp;´ÊÀ?Êë5_x0017_gÁ?6Áµ_x000F_0Á?¶
Y6óÇÁ?¦J ¸¾xÁ?v`Õ':Â?Íë
v_x0007_Á?Ko®QÂ?'ä#_x0015_¼Á?Iº&lt;_x0001__x0003_¾_x0014_Â?fg|«ô°Á?_x0010__x0017_[Ð_x000C_Á?§üÛ
^À?9_x0004_ÃÃÀÔÁ?MGF§ó¯Á?jB:b9Á?_x0012_øüÞ'Â?_x001D_
¨ìÜ;Â?Ô÷N(_x001C_#Á?_x001F_¿©!Â?GþÜn¿À?¨m_x0002__x0019__x001C_RÂ?HU_x0019_ÁsÊÁ?ÍÎP¡sÁ?t&gt;¥G_ÉÀ?cÛlG_x0019_Â?_x0011_¦&lt;ÁnÀ?Øµ}ïÝoÀ?I9cøåÁ?ä¯kh_x0002_Á?|_x0004_¦ê¤_x001F_Á?é¡îò_x0004_Á?ü®+_x0016_¯Á?_x0003__x0019_×Á?]2ßò_x0008_Á?_x0016_æ`ªNÀ?|%_x000B_7.qÂ?ºSoÖÆÁ?_x0014_P	ã_x0013_Á?nÀbxLÁ?ò°+á_x001C_ìÀ?_x0002__x0003_:ZÁh'À?Í?_x0010_½PÚÁ?@WOx_x0005_À?Ò¿'guÂ?_x001B_è._x0002_À?þ°Ó_x000C_4üÁ?_x001E__x001A_Df À?+_x0002_)Û±Á?ðW8XåÀ?¡{Å162Â?\_x0003_°q~Â?·èÍM}Á?£_x0003_ÀlÁ?Í`_x0001__x000B_&lt;ôÁ?Å_x001A_öýÑÁ?Bób_x000F_°7Á?!_x0006_T¼_x0012_À?_x0017_Ã`J¤_x001D_Â?q®´.í`Á?û¬ØúüÎÀ?Tò_x0015_:^ÐÀ?@Ø0¹9\Â?m¨3@¨_x001A_Â?]_x001A_:_x001C__x0006_ÜÁ?´Ç_x0006_÷_x000F_÷Á? .F³_x0016_Â?Ï^HR^_Á?Nµ_x0010_T_x000F_Á?Û*BòUªÁ?8a+Â?ã_x0012__x0012_Ü_x0001_Â?.³_x0002__x0001__x0003_«_x0015_Â?_x000F_c_x0014_LE!À?8¼5_x001B_@_x0012_Á?* ø:§éÁ?Z÷ÏÂ?ë_x0010_/¸GÂ?`k´¯ôÀ?$O¯§ÕÀ?ù_x0006_ß¡;ÈÁ?!òoÁ?üH-j&gt;&lt;Â?ØÝÆ~UÂ?x_x000C__x001D_ _x001E_Â?ÁñSAèÀ?&lt;«²X½ÓÁ?n_x0019_k8¨ÏÀ?_x0002_¹6T§)Â?W_x0002_tùG,Á?Ï£a_x001E_ÍÁ?%O·Yµ
Á?¥ÏÍ_x0012_ØÀ?¶±½Ò@zÀ?_x001D_ù"W_x000C_¥Á?±NÍe­äÁ?_x001E_ðº¿ÛÁ?[G£NØÁ?õçPÂ? KÔ÷]Â?_x001B_âÈ7Â?âeÄÑ[Â?÷d_x0011_¨_x0007_²À?.gæ&gt;Â?_x0004__x0006_¸Ä_x0003_¼'Â?Ï)5_x0004_ÛÝÁ?í_x001F__x001A__x0011_	À?1E_x0017__x0010_í¯À?À-ÀBÂ?Tóe_x0004_ÚÁ?&gt;¥°7bÀ?H8±_x0003_dsÂ?Ëµ9ë_x001E_8À?Å÷QâÁ?½÷âdt«Á?Ä$Ót"NÀ?§_x0014_OÚÀ?ØS[)_x001F_dÂ?û_x0015_B»_x0011_¡Á?ºØÇ9êÀ?º_x0011_aW_x0005_ßÁ?F_x0002_¨_x0004_	Â?r	àÁÎÍÀ?_x0010_Ø_x001C_7]Á?þ_x0002_~Ö]-Â?qDÍrÝNÂ?]µø_x0001_§öÁ?D^'aÁ?rºÒÂ·Á?êÊóø_x0008_À?{ì"&amp;u_x000F_Á?L!_x0013_Õüú¿?¨ñß´_x0019_Â?_x0017_b_x0008_Â?Hi¨	.Á?.èi_x0003__x0004_´zÁ?XÌ7_x0016__x0002_À?Òèµ5&lt;¹Á?_x0013_·dHvÀ?%_x001B_V÷AÑÁ?Âø|=ËÁ?tEª Á?ÏÕ_x001A_t¦îÁ?/Í\M_YÀ?ç\Ãn%®À?0ÛúÁ? gïbDÀ?À9¥Ç*Â?L#T¬»:Á?·;u|6RÁ?ÕN4²
MÂ?bÿb¤1ÿÀ?WM$8Á?')_x000E_¿:Â?pbY]&gt;lÀ?3_j}µ:À?@/y_x0001_Ã4Á?_x0007_	É,_x0003_Á?ì_x001B_©+½_x0012_Â?m:ÃÁ?7l_x0005_Â?AÉèy©;Á?÷_x0014_SmÍÁ?ù'fâÀ?	³j_x0001_ÃÁ?;Ú Ú¿&amp;Â?4Jº5b!Á?_x0002__x0003_R_x0007__x0011_&lt;~§Á?îLMpÌÂ?ü6Ý£Í.Á?w_x001F_øPÀ?_x0002__x0012_Ê¦O'Á?_x0016_%UoÁ?åmÉ_x001D_·ÞÀ?í¡*_x0003_»À?dUMÆSÀ?º&amp;_x001D_Ì¹ßÁ?ç}&amp;hrÁÁ?kr9_x0004_Á?_x001D__x0012__x0005_þùÁ?5`àh_x0001_Á?ÀRz@½ÄÀ?ÑÕõ=/Â?­-ðý%Á?&lt;_x0005_ÌÛ&gt;cÂ?×Ö	F³À?Õ_x0006_äûµÁ?m^ÿ®À?H¸á_x0004_Â?'¢ÕÊ=Á?6Ù_x0008_ZÁ?t¸ú&amp;Â?ü_x001D_Â@ÝÁ?~fãÖäÃÀ?,_x0015_»îaÂ?ÓK60EÀ?Ý*'"ðÁ?_x0018_ë-º_x0016_nÂ?ÖÕ±_x0001__x0002_ç&lt;Â?¥Ã¡ùpÁ?lý#y_x0006_éÀ?$èQ«KÀ?Ñ_x0008__x001C_èàÁ?oX&lt;Ý¬_x001E_Á?Lu_x001D__x0019_tEÂ?£Þ?Ä_x0008_þÁ?÷_x0002_ká_x0016_Á?öÖÉÊ'ÎÁ?c_x0014_Lº0_x0017_Â?ørß_x000E_iÁ?/ºÏg86À?¹×L«´Á?ç*èðµrÁ?9;H&gt;Á?ÏÇ7êÀ?RÔ	ò_x0016_ªÀ?µÀ_x001D_jÁ?ïYÔNªîÀ? êÆ_x000C_wÁ?4¬óÊ&lt;)Â?àþIé¤«À?%(?_x0018_;3Â?ZKÂ÷º_x001B_Á?_x0008_ã'_À6Â?ò`çôìÀ?ÿn#'±IÀ?û4R|	«Á?YÊ`ß_x0019_øÀ?]äüòÀ?_x000E_úÜ_x0019_tÒÁ?_x0005__x0008_ìòh_x0011_Ý{Â?7Hª_x0007_Z}Â?ÚÐ©Ê#4Á?¬ñëÀ3Â?ªMo;_x001F_Â?Ñ¼ÐÇ_x0017_GÁ?É `xHÂ?úíÌ¹ÝÁ?gâ'5Â?_x0006_-Äµ1À?v?íÐAÁ?3_x000E__x000E_ÙÔ&gt;Â?©ùäk¤²Á?_x0001_%­_x0011_ôÁ?ýùª_x0004_å_x0005_Â?_x001B_SO_x001D_&gt;6Á?` âÏá]Á?%'_x0004_À1Â?_x0002_ÙÃ3aõÀ?ÅÅF5¨À?×PÝøÁ?_x0016_tR¦×cÁ?Ûy_x0001_{[Á?÷:iÿeQÁ?_x0018__x0018_é_x0005_Á?Lò§a5_x0006_Â?_x0011_[6êvÂ?CìØyÖÿÀ?mì©õBÂ?#_x0013_¡;0óÁ?h_x0005_ç?_x0003_WÂ?1î_x0006__x0008_DbÂ?Ð±5O{Á?_x001B_ä_x0016_KÁ?¸çA¢P&gt;Â?2 y·¥AÀ?Ü\t_x0006__x001D_Á?:Î`Ô_x0019_áÁ?_x001A_ù·y¾À?(Ò2	r|À?WÑB_x0005__x0014__x000B_Á?/_x0010__x0004_s_x0019_À?Ó@pNÁ?Ã¿ï_x001C_Á?Ó(NKÂ?x?HÃdÂ?G#3)ÏÀ?Êè^Á?­s {9Â?Ïf,sÁ?&gt;_x000B_nGñÁ?_x001D__x001F_#bd_x001F_Â?bFªè%³9@j\â£:@Ñ­Û_x0016_I9@v«_x001E_§º9@&amp;xînï :@Û_x0006_P_x0002__x001C_¿&lt;@¬Êj¨_x0013__x0001_&lt;@î@ÃHÿ9@_x0007_Û_x001F__x001B_L:@¡ÿ_x000B_kù{;@PÌsÑ_x0003_:@_x0001__x0003_úI¶&gt;û7@~ZÐxÒ:@I¾_èÐ:@YôA&gt;&amp;;@)f[P_x0003_z9@ç½'£;@_x0015__x0010_Bd_x000F_;@å3µéP:@Þ _x001A__x0002_²&lt;@	½4#0_x0004_:@´	ñÀ¼8@"ú6:@T_x0013_¾ª;@¡çmúÍ7@ûTÕªh:@èµËA:@_x0010_ñô_x000C__x0016_è9@_x0014_1××xP=@vo]9@¨ñ[_x001D_:@Ð,IP9@ï£
íû;;@_x001B_kíûEV8@«}×z´:@'_x0012_wh´Ú&gt;@óÐ	®p&lt;@1_x0002_+PÍ:@_x0014_Á_x0018_C¢.9@FJ?¹ä9@Î[ªN_x0016_â&lt;@º&gt;ÕPç7@_f_x0001__x0005_Ì¤9@;0Sp_x0014_e4@_x0005_gÊ8@½%ý_x0019_Ì;@ãÊÙµ5s7@ú?©ø¶9@û!¯U°&lt;@_x0001_ ¯.Õ_x001C_9@úá_x0008_D;;@ú{|_x0003_&lt;@_x0001_Ü_x0011_È7@_x001A_Igþ"8@-'H_x001B_ý9@:Å©Zí8@¾ô´È`4:@Ôr\l¿;:@?¨í-y8@]_x0004_úgN;@wÿcß9@ÛÖk_x0005_%8@ò¬ÃcÆ9@_x0007_h_x0002_b9@2üëð@,7@ÀT;ð87@µ¬ÎË¢9@_x0008_P úâ&amp;8@;Æ{&lt;@_x0006_O_x0007__x0019_ê7@zD¦³±_x0004_9@ü/V)ë8@Wúcñ_x0018_Ô9@O¤m£ö9@_x0001__x0004_5_x0011_¼_8@"Y¥¨_x000E_Ø9@6P%í$:8@%\üfò_x0019_;@hÎæf*m8@)»_x0006__x001B_¬:@Æ_x0001__x001B__x001B_*û9@ÑEè_x001A_$&lt;@D]ËXÇÑ9@¿_x0014_Q-g:@6|s«ã:@²?z HÕ;@úø³sc:@(_x000B_($:@&gt;_x000F_%^Õ:@i÷_x0005_XÔ_x0006_9@BÔ?¸ëb;@ß¸t]&amp;á8@Y_x0011__x001A_ü¯:@Ö²?Põj:@fñq¬;@$¬±_x0003_Æq9@ëvùû:@ØÑVÐÕ6@ý¤À~o;@_x0018_vI_x0002_äð9@ûô¨Ôü6@@´_x000C__x0008_-&lt;@&gt;¾_x0010_Ù5:@_¿Pp:@uwÈ6:@eyäÅ_x0002__x0007_Ï°6@_x0001_ö_x001D_¹D÷9@ÄÀB&gt;_x0006_5;@³_x0019_}_x0004_ç:@Ö_x0007_ê¦m:@þy°T8@_x0006_&lt;_x0012_2&lt;@ïöDoc8@0_x0011_\Ñ_x0008__x0008_8@#_x0006_3J8@Ú_x0005_QcþÐ;@Rc6¼ÁI;@;_x0019_Bï_x0014__x0019_:@¶°Ý¸_x0010_9@Õ_x0003_`¹ÚÞ8@4bÀF_x0019_n&lt;@¨_x0008_W[pÄ8@îË,é\;@ã^hé­9@ÁU8d_x0010_N8@Ùø4%9@0&gt;_x0018_Ý9Â&lt;@'Q&lt;@÷CU-_x0002_9@"!;Ä}9@+ùÎÈÜ_x0012_:@",7ñÔ;@ÛªÇÕ :@#ð_x0008_gx£5@£×`Õ_x000E_Y;@_x000F_8g!ü³8@ýø&amp;N9@_x0002__x0005_¹ÞÄ´¢e&lt;@S¿_x0004__x0002_8@wuZ#½ü;@Ò~_x0001_Ã:@pÛÔW&lt;@ÛÝboëÏ8@7¸³ªRß:@Ùìð'8@9×èÏ=!;@¨Q·õ/T:@J¨ý±N4&lt;@ÿ´?ÅöR9@Ë¢©z[ó9@pq2t@E=@uBmgê9@Ü;
&lt;@_x0007__x0003_ïBB±;@'Û©ú;9@§_x0017_S_x0015__x000C_Ý;@'N/®9@_x0011_5UÉ68@2_x0002_ÄÚ_x0001_7:@Köv«d7@üìA&lt;i\6@Z§£Ñ4g7@_x001C__x0001_HW¶;@Ø-9TGµ6@N½õÕ8@!_x0019_Z©_x0013_79@_x0003_a;çS;@ÈFx#vô7@¢%_x0001__x0002_¥;@ßr_x0016_Ð\ñ9@_x0018_ÁÜ9)=@¦£K\ïÚ&lt;@7Öó'_x0012_ð:@üÍ3h.×8@¿æbÒ¥f;@ØÝp}&lt;@Ùû@f·5@õûî´?;@=Ï(_x0018_5å8@n©6Z_x0008_&lt;@AÛÕû_x0006_;@í_x0019_©_x000C_7Ä=@p5üæ%&lt;@H±YÐÂ9@òûÁ3×a:@qåäÎ=ú8@\g¬àk7@Ô½_x000E_È_x0008_;@Sh«bhª:@ÿìá_x001C__x0016_:@_x000E_"`V;@»¤áÝÐö6@îlZÀÂ18@_x0005_Ã¾UCS;@)7	Âû;@Ù³ò_x0005__x0016_;@Ê&amp;KSKQ;@UGìê;@_x0006_B6@_x0019__x0006_Ø«¢p;@_x0004__x0006_¯§^Ö;@øºÜð9@ÞtÇ=Ì9@_x0004__x0011_ |Î9@÷_x001D_â.¬&lt;@_x0002_qàDwt8@@q_x0001_µÝ9@¢8ÇóQD;@_x0011_øQfDl9@äù'aN ;@ôaVõ):@Õñ07E:@ß{_x0006_b­{;@ü.ZuB6@óÔ-èZj;@3î&lt;_x0001_[ò:@_x0010_ pTãç;@§µ~t
_x0003_;@÷C«ß9ñ:@Ñëâ)×ý8@_x000E__x0005_*â¢Ä6@_x0012_oàØ9@§òºNá:@1ÓVÐû9@J0²_x001F_ÎÆ8@æåc¼ÆV:@!e¨õ¨9@rº¢Ñ8v:@O( qç9@¶&lt;É,´O9@CYqVÂ9@±¬_x0003__x0004_Q_x0006_;@_x0007_å_x001E__x0010__x0004_Â:@Ò_x0001_GÖ&amp;;@EOÙ_x0018_¿§9@ù­s)9@_x0016_2_x0001_3GË9@:µåw}9@u¨ÁSt¡7@ta_x0006_Ð_x001A_;@_x0006_Ï_x0001_é_x0003_;@·¶áaäÉ9@[¾3ç_x0013_î:@·_x001B__x001F_ívM:@sÕM£;@-ØJ(±=@_x0001_l²Ìø:@¹]QÍ&amp;K9@®¯_x0003_:F:@÷(8Sï9@_x001B_¸Ì_x0006_m&lt;@;ëÃW_x000F_9@ë È_x0012_Û9@hÇíd_x0002_	9@J_x0011_%eù:@G¢_x0008_ø_x000E_Ò8@Þ³nÙÈ6@/3èéõ5@	_x0013_G|e8@Å_x0016__x001C__x000F_6Ö9@çÊÞ`&amp;9@¥!j3i_x0019_9@_x0008_Þóì¥õ9@_x0001__x0004_s_x0013_2:@&gt;Vø_x000C_nÊ5@v!Cà=Í;@k;­z¯9@p¾-:@_x000E_Bú_x0017_¡î8@Î|¤Ý&lt;w8@9Ð~
_x001D_/;@23ª²-9@Tág2@:@ö©ér_x0017__x000F_&lt;@äe)tê=@ôÐ_x0006_ºi9@¨_x0019_âÅ_x0012__x001E_9@=AçÛ£(;@Ù¬Ïnu:@_x000E_ZÜ_x0005_Ç_x0010_;@:#_x001D__x0003_Ü7@`_x0005__x0012_`Ü5@_x0002_»fþ_x001C_O8@á
ùqö:@¹TÚJ©8@_x0010_þ*W_x000E_»;@)JðD¼_x0010_&lt;@¹!à;@g½_x0001_p~=@«P±f¸_x0013_9@AÍ=ÛÁ_x0017_8@3[Ë?_x001B_ÿ:@õ_x0011_Aÿ_x001B_9@8À¬Îu²8@ß_x0012_i_x0001__x0002_·}:@è_x0004_´&amp;;@J^]ø}_x0005_:@h_x0005_ëà¥C:@·*âW¡â8@e$Õò±O:@}@`Ög=@_x0007_3yk_x0006_{:@_x0015_.Ú§*9@_x000F__x0007_fº_x001F_9@PÊ_x0019_³:@#Æî4)8@2©H;@_x001C_§qhì:@¸_x0016_MTg¡9@_x001B_óö
C=@=°©Aß_x001A_8@°Ü_x000F__x0008_³;@}?Cò:8@Äé}¸Ù:@_x001F_çàÍu9@_x0005_@r_x001A_:ñ8@E_x0008__x001D_x_x0005_9@ÀïÃº:@P$O:@åÐÚ_x0006_¬G9@PobèÕ_x0012_=@Cò_x001C_¿Üì&lt;@-»_x0003_ïR&lt;@×Æ|U_x001E_Ê&lt;@]¸ÆGxv;@ì²¯ÁZ²7@_x0002__x0006_å&gt;6t_x0006_9@ååJ³_x0012_Z=@Ê¾Ç8û:@-³m&amp;8@ÂTÜÒ&lt;¶9@¾.õî5@ k__x0005_&gt;@!É·_x0017_sK8@y$8&amp;Æ7@÷y[êH6=@£_x0014__x0015_§&gt;É9@ _x000E_Ü¾R~7@*q_x001D_'õã7@º÷;÷A9@@÷ÖÖ_x0014_;@j&amp;ñ\	ì9@6Ãø6Ns9@æYð:@Å\d;@Îì_x0004_G_x001C_6@C{§N:@ª¤_x0010__x001F_«_x0004_;@_x0004_&lt;5¿9@}þh=dÎ8@K+¤_x0016_;@_x0003__x000F__x0001_]À7@T°Ü±àX&lt;@¤_x0017_Wçi:@_!rØ¾:@Zp_x0002_CZk;@¦4ãä­9@?_x0017_°_x000E__x0001__x0004__x0018_h:@åÌ®"q5@CÌàH½ö8@n{Á½_x0012_;@µmápmp7@àû_x000E_¦X0:@&gt;eÅ-1Y9@ëtâ-_x0001_¬9@2Ñ_x0003_Ä¥9@.Ë]èÍ&lt;@.´;wdú9@_x000F_@_x0017_þ99@ý0¨_x000E_
¹:@VUÛ·iq;@Éú£jÁ¾9@ÛC*A5:@F_x0015_:¬_x0005_8@:£/×"&lt;@Ä"ö49@OhÈ{8@qêD-¡µ8@]óÈ©sL9@1(_x001F__x001C_ÙÌ8@g¢gvÑ8@R]"À8@ôYhÙæ_x000C_9@õÄ(r7_9@á_x001F__x0008__x0013_Ï_x0012_9@KÒ3pR:@ÞÃK_x0002_8@#åFk8_x0017_8@^þøf_x001D_8@_x0003__x0006_¦m±TVÈ;@ó==@ç=ZO_x0002_:@_x0005_«ÚÆY8@_x0012_Kj;@§¨_x0015_¢A8@l_x0005_:é N&lt;@W©&amp;Å|9@n£_x0015_¼_x0004__x0014_8@ºMý_x001F_;@}ª¯_x001D_©:@¬_x0008_]_x000F__x0017_&gt;@ðLÐL×'9@x_x0012_ì¢_x0011_\:@6_x0001__x000B_Fe%=@£jXzìë7@nÏùe,»:@NrPæ­8@ Ñ_x0005_¶(p8@Ú_x0016__é÷7@y4_x0019_³:@/ë7eK&lt;@_x0016_6ÍãE8@ûKÖ^	;@ïÔEm8_x0007_&lt;@½B_x001F__x0017_È9@ºÅþ2Â`:@Âi*ðÓ_x0003_:@ÖÑ~¢1;@¦e&lt;@_x0013_üøâ_x001C_Ô7@À7_x0017_W_x0001__x0006_³;@1º_x0002__x0003_=¡;@_x0001_Æ	M_x0005_å;@üð#É_x001B_m;@$sT¿_x0014_B:@îPÐ_x001D_#ô:@¥ò-vó[;@Q© 7;@9_x001E_Ll_&gt;:@a_x0010_h1¤:@mç³Ñ_x001C_:@_x0012__x0016_+_x0004_¿8@ ¨Ê"9@_x0010_ç¹Õ¹y:@Ç©Íû²Ù9@PßºH¶8@\Ì)&gt;H_x0014_&lt;@_x0004__x0014_pxÊÎ;@ N_x0006_ï;@¢_x000F_&lt;çÌ7;@%?Pû[+8@À_x0001_³_x0019_°7@_x001A_Zb8@To¯_x0011_;@_x0014__x0004_ä_x0019__x0013_ª=@Z"k`.a&lt;@qØ_x0005_ !:@=CpQ-_x0006_:@y®æ+-^;@&lt;É_x000E_oý_x001D_;@_x000C_Ös	ô8@_x0014_20Ý_x0014_5&lt;@_x0001__x0003_My=dt&lt;@³úyUFH:@úÍ2IÛ[8@ê¨x^FV=@ú,.¤&lt;@Ë_x0005_ßT¿|:@áîM_x000B_²&gt;@·órèá":@Ì©~`B;@uÄ!Ù}8@Ø¨_x0004_4*9@u#+©;@Ôººëæ9@Hmdâò8@à5}_x000B__x001E_;@ÜÐ8I&lt;@Öq_x001F_@_x0011__x0007_:@#½«#_x000E_7@
'?s³9@ñ¦¡³ì9@nTì_x0018__x0002_;@)_x001C_ëß7@1.OÞ_x000C_:@eÔÜ_x0004_g;@«¨-_x0005_%;@_x0015__x001F_{½tY:@ÉAh%:@/ u_x000B_r:@Ú¥·¢_x0007_19@"F
_x0001_±:@Rtç_x001F_ku=@£ì^M_x0001__x0003_XQ9@²ì¿:@nÎÖñ&amp;?@Bß_rØ;@Á9(%Ü:@&lt;lTÞ_x001F_s8@¡4SCå6@¥ù6ò&gt;_:@tÎo_x0015_Ê:@RöHÈëf9@?c^¶!½:@§AÞY»9@_g2k¨&lt;@WÚZV_x0002_{9@_x001E__x000F_|(Â;@Pß]Ü*K:@_x0015_/¥wåg9@¾P_È_x001E_;@M5_x001B_.·7@ÁÛÉô°	:@o.N&gt;9@d_x001F__x0003_ú7&lt;@ê«Õx&lt;9@v_x000C_­`8@_x0014_èß_x0010_«9@QM_x0019_ÏÇT9@	_x001A_LtM;@Öp7Ì-;@¶_x0005_¸YNh8@ËGs_x0011_	É;@kK(àÐ9@_x0005_ÈîcYÞ8@_x0002__x0005_÷ê+£_x0018_á9@rÏ¸4ª7@æ Ji7@ñÞ_x0003_Äb_x0015_:@K¥lÏ-=@è.8×9@ßS3_x000E_Ð_x000E_:@¼dãYÂ8@_x0001_;Q_x0017_¦9@¹Ê_x000F_ø9@$ÿ2(_x001D_¢8@Jº_x0007_YC;@\ç_x0011_+ûQ9@e2_x0008_3;@á¹&gt;E;¦:@2_x0018_æ²;@þS_x0015_08@_x001C_&amp;I=ÊD&lt;@Û_x001F_¶3_x0018_:@óvÔDö_x0017_9@_x001F_õ%©6@*Âá_x000B_;@ðµhsC9@nÝ_x001A_ñ±-5@_x0017_(e¸»:@ÓN$_x0001_Å3:@Nª_x0018_°x37@º2Ð_x001A_ì8@pOf_x0013__x0004_=@ÝM&lt;&amp;&gt;@J_x001A_=}U;@-õ7k_x0001__x0004_¢6@L¡¬bÀ¹9@!_x0006__x0001__x0002_]9@+_x0018_Yu·
:@_x0012_/Ov_x0019_8:@ÖÔ¸{×"=@ºmT_x000F_p?@3Ý_x001D_­0;@æRËF;@ÖQÝâ§?9@=+;Ú8:@[y_x0014_î9@úH_x0010_Nmí;@7¼9YãW:@c1Á9@ò_x000B_BÜ&lt;@ó_x000B_ú«+9@þ[yR7@¢Ú¤RÁ;@ÖCý×É&gt;8@'_x0001_S*êv&lt;@çÐ:°k8@8¿ê877@0"=_N_x0016_9@_x001D_§É_x0011_®:@*`OwÓ_x0003_8@_x0014_`f`F;@*ãÅ_x000B_x;@aº·Ú8@éù!é8@&lt;£òá.:@z©_x001C_H1?8@_x0004__x0005___x001A_½8@ÉýØÝ¨;@Ú¤ù@w7@ÈÐ'á_x000B_&lt;@Á!óý_x0017_º8@_x0016_ëK_x0011_Ï:@c_x0005_ôC:@s¨á_x0017_Z;@ÀbdÖZc9@_x0011_[|¦ç_x0015_=@géµtl9@?¶1ªà(9@´_x0002_¹s:@v²n£*99@Ç_x0013_ÛIò9@¾È
Ò¤29@G+9_x001A_&lt;@zØ_x0005_y×Ö&lt;@ÍsÎ­ÿ8@QwÜSb7@·Wë;@¯}é³_x000F_Ò;@creàn=@&lt;¥=f´_x0007_:@PþÅ_x001A_¿:@_x0004_ò³Ëð7@_x0003_P" _x0001__x0014_:@ê|_x0007_Õ}&lt;@AíõÅ×V9@O=çe:@/´CÀht;@ Ìm£_x0002__x0004_L_x0004_=@¼&lt;_x0014_ÊQO7@´TÒµ7@o_x001C_0¿f/&lt;@ä_x0013__x0004__x0011_&lt;@@Áøx¦:@e_x000E_Õ6È·9@ÅÓA{;@}%¿%ò¦;@j:aæí;@_x000E_:¤¸7@ø9Ã_x0001_]8@_x000E_1VD©K;@¤-$ÿgë&gt;@:,ZH_x001B_:@#Mí@Ü6@_x000E_m±ÒÎù8@Ør6Ù8@Iö¦Ç_x000B_:@£Ç@ýr;@_x0006_O_x0003_ëÂË:@"_x000C_àG9@$T×E_x0019_n9@ÀúU·Èÿ&lt;@ïzÿän8@5Àêë:@C__x000C_û::@_x0018_¬ñ3Í[7@æn5Êù(:@yße:@À_x0005_&amp;=®ã8@Ï/U·bÏ7@_x0001__x0003_C¾1)_x0011_z:@ôz	Û	¥8@v¾+3H&lt;@
qáfå_x001B_;@ÌÜÌ_x0002_7@Ý;BÂJ2;@+Ë;é:@E9fYæ:@Aò½pÆ:@bEÞÔá9@H__x0007_µ:@G¿ö¤#;@_x000C_â¬eqß;@ùÈ_x001D_@Ñ&lt;@*)ËÑ=@¼
z¤ã;@ìL_x001A_Ë)þ:@Õwf_x0011_9@¥/Ü]ÃZ:@Ú}½ß$_x001B_7@· ß_x001B_o9@[õ{&lt;ì£=@cö_x0008_¥Ê7@âñ«A¬º7@_x001E_:»_x0014_úö7@_x0002_;"§o6@)ÊÑG8@_x0006_ÛR¬8@rË_x000F_Ûýy;@_x0016_'Q2r7@fC¦|¯=@£²b_x0012__x0001__x0003_¬a;@u_x0011_{XQ8@Q_x000B_¬öi=@¶Íá)_x0019_
8@;VÚ ý=@{Xî5ÙÀ6@n_x0005_&gt;®;@no¹_x000F_æ8@Ïýÿs,;@ñ¯Prþþ9@_x0006_öîS:@¨_x0017__x0017_;¼7@V¨[ùn&gt;@_x001F_XÈä\º9@J÷Ñ_r8@ÈS¦v&amp;7@;B_x0003_y_x0017__x0002_8@K_x0004_&lt;D:@ÒUxP_x0004__x0007_=@L·Ô_x0018_º9?@¤ïívºý7@_x0003_Â_x001B_ëMx9@_x0018_ÎEùÄ:@ðÅ_x001B_§&lt;@ÙÃÊ°{+&lt;@øo_x001A_t&lt;@
Ãþï+&gt;;@ºÉ_x0006__x001F_ß9@ÓÙæÒ':@ÿ2_x001B_ÎÜ_x001B_&lt;@:æk§xD6@Ús_x000F__x001F_~_x0011_:@_x0002__x0003_Ö_x0017_%&lt;@«_x001F_6g9@â_x0001_®JMK=@-ÓC_x0011_;@Ä¦_x001E__x000E_m88@ÏýÎâ¥õ&lt;@.R cÚ@9@i_x000B_ª_x0008_;@yD_x0002_¬_x0010_:@Q	K÷À8@ú?0àR±8@$@ÁÞõ=@_x001B_áóÛ8@ð¿b2Õ9@oFá_x000C_ø;@_x0007_Ù_x000E_ù9@ì:w
_x0016_ý8@_x001F_u¤Ù;@o!övoâ:@àÁoP_x001D_w=@È_x000F__x000B__x001A_Ù^&lt;@_x0018_Æ	$_x0008_×=@¸_x000F_°_x0010_=@_x0007_t48@]m.J9@CÖfZ(7@Sz_x001B_bÔ7@^quxÞ&lt;@¬Y!Û©9@ØáåÝØ:@è¾9_x0010__x001A_;@4^8¸_x0004__x000C_Ã:@Ug_x0001_V_x0003_9@_x0006_Ó· /à:@¡5_x0014_(`;@¬¬óg&gt;¦8@	÷è*;@x5×Ïÿ8:@iÒ_x0012__x0006_o±9@BBr_x001B_È:@_x0002_JÈbG:@m`_x0008__x000B_!9@É±'P'9@ÊwlB~9@¬}:p´;@5sÅL|i;@Á @ñv9@_x0016_õ¾Qß2=@U@I_x0002_:@Æ^j_x001E_7@¦¤.(_x0013_Ø7@y\éO]Ð=@h
mÿ9@ÄcÀ×Ú7@¦dUY'9@å×y»Ù+:@+W_x001C__x0017_w&gt;@¡Iþ_x0007__x001B_9@Æá½_x0014_h&lt;@)_x001A_Ô(_x0017_&lt;@úã_x0007_Ò¥@&lt;@2ëNóÛ9@Bò_x0005_/ç;@</t>
  </si>
  <si>
    <t>f8fc186c69551fa9c4c0f099509b9409_x0001__x0003_Ð:_x0011_^ 6@:ÌißU&lt;@}WË¤?Ï9@Û\Ø_x001B_Ä&lt;@âM|´9@nÑ_x0004_ñ¸i6@ü{Jo³:@_x001B_lÍÁS7@Èê¼tF[9@_x001C_Ãñç_x000B_9@Yãí³}Ç:@õ_x0019_Ä´Í_x0012_8@"ëf·Ö!9@Ä9ñ7@3WÌ8&amp;¢:@[_x0006_ùþu9@¯Øh8@¡_x0015_ØÏµ7@Yáâw^8@%_x0016_@U_x0007_9@Ç4
&lt;89@tÔD¿4@h~»«7@­à_x0005__x000E_9@¸JQïÜ÷8@@kè`ýÄ;@_x0002_¯Ì=­8@q	çÚ­¸:@_x000F_ÄMw_x0015_x6@_x0012__x000B_ìi'9&lt;@á_Ò_x0002_Õ8@Ï
Íß_x0002__x0003_ &lt;@]wR£Ì_x001F_8@(Ð¶!`K7@r'T_x0011_æ=@»N!|z8@_x0001_5_x001F_ÕF7@ó&amp;w:@W,Ó¹&lt;@"'Ó®»&lt;@ô+9Ü_x0011_7@ðJ£Pà;@t¬_x0006_¥_x0017_j&lt;@ÿ_x0007_Dõ÷:@Q&amp;Íz_x0002_;@V_x000F_ÍRÖ:@MØf_x0001_b:@&amp;ÙOø:@Z &amp;&gt;°;@î%¢ê:@øÈâ8ä39@L[:ùM£9@«Ù ¢Ò
;@}`tþ9¯8@o_x0015_[_x001C_ïA&gt;@Âò¸ó&lt;@_x0002_X½2_x001D_¾=@Ã_x0005_$_x0018_Û:@¬'_x0013_(^«8@Íâ¤`9@©zâ\&lt;@0½º!:@--õûN_x001C_@@_x0008__x000B_U	ûÞïz&lt;@_x0012_­ðÆÚ¶:@.3MF&gt;@_x0010_ð_x0003_V9@È÷Í_x0012_¤³=@.ùÓ_x0014__x0005_9@b@Æ§Í_x001D_&lt;@`_x0004_«tj5@¨½£¨&amp;:=@9½¸{KP;@édµÜÓ_x0006_&gt;@_x001D_Æ¨Ð(&lt;@#ö_x001B__x0003_8@_x0011_Y_x0016_"È8@ãsdç&lt;8@¾_x000F_-Ñ6@_x001D_­v ÐE9@,_x000F_à³ç8@=VuÜ8@Õ-_x0002_Ï:@_x0007_î-Fª8@9OmðKq9@ø;8£û4@±_x0014_?yâÓ;@ä_x0001_¿X8@ª´_x0016_ê_x0013_ä&lt;@Ã_x0019_q,zw:@1_x0016_ÿ/X8@?ö¢	_x0003_09@_x0011_¥üã&lt;:@W=_x0003_k_x0019_S:@ÖvqÛ_x0001__x0003_!ô;@à+ÜõF:@ã\ª`^:@P_x000F_%}ë5;@_x0010_Y:ºÝn:@nð»_x0017_6@L8_x0003_&amp;a7@9D_x000F_ÑH¡&lt;@m_x001D_¥~;@jêSm&lt;&lt;@Ô_x000F_ððY&lt;@GñÒ¾%	7@Z^JkÉB:@0(`wÒ:@å=ûlå9@3{´ÅÅ;@ös³ì_x0016_b9@ìõû2¢7@â_x0014_õèFÓ:@ÃX£/_x0003__x0001_9@Þ0ÿ'B7@®:8$9@b2Á³f8@ÂÍ_x0018_IÈ§:@ÏOõ6@¨KMAG½9@Û_x0004_Ð^U:@Åd_x0012_UC'&lt;@^ÂË%?;@È¾_x0004_ó_x000B__x0002_9@_x001B__x0019_lîY9@µ:Ë¬¹;@_x0001__x0002_3./_x0012_¶_=@%1+_x0013_u9@±_x0017_	:@ÜéãÖã²9@ª&lt;Jòó¥7@qÀ¡Õ{;@_x000E_Ú:Þj9@Ü_x0010_ÿ1£8@àø k§2&gt;@Cy_x0008_c;9;@Dú¹k³Ó8@`¹úB:@Cl_x0001_7Þ\:@ØÌ|eq:@_x0019_±L[Då:@§_x0011__x0015_¨Ì_x0004_&lt;@ÕGóÅ½;@xÑÙAØx7@¹Ù²)ÿ0:@2eì	S_x001C_:@ÅÇ¬_x0011__x0017_:@SªZá_x001B_=@L_x001B_Ej;ò;@#ú_x001F_5MÂ7@^¾Þ_x001F_Þ?7@@JkþÅ*:@_x0008_o_x0017__x0011_ù;@Ó#½ o:@³½	Zpç&lt;@X_x000B_oÉÂ¶&lt;@ÉãhO_x000E_ö;@n_x0002__x0003_R¾;@ÄP÷þµ&lt;@üÓ¤4&amp;:@_x001C_ÆQ_x0012_e;@?jUªe9@6¡Ó9%_x000B_;@_x0014_Ê_x0001_¶!8@Ø D÷_x0015_¹;@à!õBj8@÷Y_x0011_¾_x0016_ì6@|lêdC8@øóC¨ÌÔ8@(Å-_x0019_8@Å^EÉô:@J@g&gt;¬8@þE\_x001B_K×:@[hÉ´&lt;?&lt;@&amp;_x0015_ã¤l:@M´âQË&gt;:@_x0004__x0019_AÄÅ:@_x0016_c¤_x0002__x0016_&lt;@õvýÃ9@_x0007_º¸`¤À:@(?ôcÍ&lt;@Ë*á¤d9@&lt;¦8¢_x001A_û&lt;@Ñ(n_x0015_µ_x000C_7@UÑ¶üÚ;@~_x0003_Û_x000B_x&lt;@Æké«°ï&lt;@_x000E_Èø¬9@íêm
[&gt;@_x0007__x0008_Ç®Ùx);@E2fMæ;@úÊÇ_x000C_ÿÄ9@é2=î2I:@¤¥.ûmt:@_x0019_}³ôü¸8@InÜ«B&lt;@ÀQÓÞå9@Úûó_x001F_Ú8@ÝÒb/Ê:@Äsl~'&lt;@é_x0015__x0004_0/¼8@¾_x0005__x0002_&gt;_x0001_6@+_x000E_à¯T7@W¼oX7@Ùi7³Á­:@:	Ã8@ó°â7@-É_x0019_¨_x0018_;@K_x0003_HIÔ_x0014_7@_x0019_&amp;*Ä¬:@?|fË8@Èâ§Õ_x0016_9@ð¶ãÔ_x0006_6@|[æh¥±:@ðIRT6@^Î_x0008__x0008_bã6@Ýk)ÿ;@É(Ð_x000E_ïô8@¶Èæ26@HXë
é9@ÿKô_x0002__x000C__x0013_ã9@ØOvê_x000F_7@¶HÈÍ_x000F_8@Ú±.5z_x001F_:@~AV7@Ù±Zù	8@_x0003_ÄÀaÛÝ:@jR¬YåD9@%ìH_x000B_(6@áÍÕvÏ_x001E_:@Îg aï7@Ô-{f_x000F_Ó9@^p]_x0002_.8@LÞIÚ'$@æ(¼_x0002_¶"@Ú_x0013_B3_x0005_8%@î_x0008_@
%@_x0007_ÛxmQ$@ÊQè­$%@À_x0006_ãÒ'I$@*Ôñ_x001C__x0004_H&amp;@R{2ÂóÙ"@-]_x0017_Ü_x0007_Ì"@ZIëû}Û%@=A:&amp;_x0001_#@5_x0013_H_x0006_&amp;@h_x0006_à×K"@v$7Ó$=$@_x0007_
Tøà,%@ÕÌìÜ(~&amp;@?ö_x0013_oÁ#@¦*à_x000F_Â&amp;#@_x0002__x0003__x0018_yýI¡Ä$@[1£o_x0001_$@_x0019_ØÞ-$@Gñäº¾#@:ÿ_x0017__x000C_D+&amp;@6/%gj&amp;@ôè8_x0002_S!$@Y_x0003__x001A_q_x0011_×"@{ì8Bw%@HÚ'_x0017_æ#@+åÊå¢ô#@_x0005_ßEôút#@âÎH¼_x0002_'@O°a_x0011__x0017_õ%@_x000C_xxv&amp;@Y½|_x0004_¥N$@%Ã,ï%@`3gã_x0008_(@_x0010_ÔFð"_x0010_#@K{_x0015_:­#@¶e	}4%@$}µ	#@"Ý¼Û·$@Ð=3&amp;@K_x0019_¼DW«$@¬#¼t]$@K±~úÓ#@h÷¡%_x0019_ã&amp;@_x0011_Ån_x0018_z$@~_x0018_WÏSÝ#@KÇé_x0014_íy#@j¾_x001B__x0001__x0005_"ç"@»;N|º#@_x001B_Ð_x0005__x0011_â#@_x0001_ÚÏö$@o¯_x000C_§Üÿ%@»|Í×p[#@r_x0003_n.#_x0018_#@Xú3XÞà&amp;@±	yï!`$@¯qÑÒb$@Ä_x001B_N_x0015_®&amp;@e^sL'@»åYò_x001F__x0011_#@R{ïÒ#@_x0019_[gËk§$@q#B_x0001_L¡&amp;@¡îæ+0%@¹º_x001F_@®ì"@!EÀ{`Ã"@¿ÀåÆ"@_x000B_Ó.¡%@+=±_x0008_~%@p¡3ñ%@Ã2_x0012__x001D_¾#@aítÎj%@5_x0002_ÇSò$@ÌÎU@_x0007_'@_x0018_þð
ß"@_x000B_EI~qc%@5Äôs_x0012_±$@ì~tJÊ/$@_x0006_EÂ_x0004_I%@_x0001__x0002_-¼`,#@Ná[?q$@rYÚs$@£êGEd$@.ä£pu\#@_x0016_.]_x0003_ï%@S·1ÿp&amp;@¦!â\H_x0008_&amp;@*_x001E__x0001_#@õ1ø_x0017_H#@ð3õÉ¿_x001C_$@Õû`îö"@/Í´É(#@ü_x0016_zN@!#@&lt;&amp;nßùú"@_x0012_½_x000B_òaM%@ì}_x0014_É&amp;@TìgHÏZ'@_x001F_ÑªÜ_x000C_%@_x0015_Ûýß$@\3&amp;Å!ã%@ï_x001F_e_3s#@Ö,Q t%@8²_x001F_Y%@Y¥f_x0012_Î_x001F_$@ë.ª_x000F_Ü$@Y³ÀýèT%@dÇ~l#@ÒA¿²ù®%@ú·|]ú:$@Ü"Ê[¢%@öqw_x0001__x0003_Æ+#@óJÛ_x0002_ª#@wÖëÍ"@_x001E_V°°ó¢&amp;@lgÏ%Ç\$@®]_x000C_´ðL$@¸r6_x000B_¸²#@A°\Eò_x000E_&amp;@È¾U9&amp;@_x0001__x0011_øv#@¹/6µL%@ní_x0013_Ù_x001F_Ò"@½®øQ#@Í_x0003_ó£®_x0008_%@¸ü_x001E_¬z"@Ýg_x0014_B×'@Îb_x0018__x0006_D.'@F¼hË$@ú)ý_x0005__x0010_&amp;@.&amp;TÎHd#@:1¼ÿñ#@þU¼Ã$@Ùjób'@Ê`_x0014_0bq$@@æõ)2Ü&amp;@Là_x0013_«¤\'@ 7c2£,$@¡"ä6Lµ"@pµl´@b$@É"1¢¹"@¬êÕB"@_x001D_ûA#@_x0001__x0002_È¹ÛÂ&amp;@_$Ò¤#@_x001C_kEEÆ"@­Í|×%@_x000B_iQ_x0003_.F#@Ç»ÁÙÚ#@¡}
]?&amp;@°Y_x0007_9!_x001E_%@_x000C_Ócá_x000C_'@­­K&amp;Ò%@h_x0003_%@rKÔ_x0007_É"@´ø_x0016_Æ9%@V¾ï_x000C_¥W&amp;@ÿbuðý"@y¥$¢Ð#@µ_x0017_Ú]µ&amp;@½Õ&lt;­*Ä#@s{(é
§#@eH+_x0004_$@¾Ç;T2#@ÐºªÅT$@ô_x001B_Qä'@_x001D_.úqÖ&amp;@_x0008_ÇÔM_x0018_i'@Ìô#@1ü»ìü#@YÈhëÊj$@¸»¼{ö#@áý»_x0005__x001F_'@_x001F_%i&amp;V+"@ä»_x0008_×_x0002__x0005_®å$@Çb'£L'@Í[_x0007_Y1»#@l:ëüm$@µà°H_x0010__x0013_"@&amp;¢ÝI_x001B_%@X_x0006_4_x001A_£s&amp;@¾_x0001_58Ì¼$@Õ1Ç]_x001C_#@öÞý*_x0017_&amp;@+4_x0016_sH$@ã&lt;#ð£%@íöº_x001E_o"@HM|ïÂ"@züßíÿw$@ið%o®_x001D_$@Å§ótrÅ%@Õ±_x0006_+²¿"@ý!|~Ý%@±9?Ý¾_x0012_%@M_x0005_Ù})³$@ß¹ÈypV#@ó+N_x0004_^"@_x0003_~%íB_x0004_'@(ô_x0013_ °$@k9 ì?­$@6ü_x0003_PÐ¼#@_x0006_NÒ$@ZÞÊHÿá#@_x001B_ôW_x001D_%H%@­ÎèÝ4&amp;@ÂÝ÷Øû_x0003_"@_x0002__x0008_¾F½IrQ#@îª-Ð¾¢'@_x0004_À7O&amp;@ô«\[&gt;¢$@_x0016_[N_È"@Añ(È1'@ÆËÒ_x0014_fE%@"hPÔ"@ÞWÑ¯Ç_x001B_$@yü_x0006_vk_$@8YÐõ¡"@IBI8§Ú"@Þ#½S?#@w³ìBÓ"@FXyßÏì#@uõh×_x0005__x0011_'@_x000C_eI+q#@Fw_x0013_ò@»%@°3 Û`$@Ä§_x0001_É_x0012_u'@_x0015_	Ì7U"@Unú[â%@r_x0019_Õ?Ý_x0005_%@Inô_x0002_iê#@_x0001_ìji%@_x000C_±Ô_x0003_x$@?5½_x000C__x0013_¸"@¾!gÍÒ%@g_x0007_Åâe&amp;@ôC_x0017_ê¿9"@_x0010_DB_x001C__x001B_ý%@_x0003_JÒ_x0003__x0005_+Ò#@lCè&gt;÷!@_x0008_lñ6ßd"@â_x0008_Ë¨#@Ùôïm¦$@lX0-¥%@ÃT:NåR&amp;@ÜT_x001F_!¿$@_x0008_Ý¬$@^Ê¥qHö#@íz»­ ?%@õ'|ª$@µN$êÍð$@¤Uä}&amp;·#@_x0001_ÞøNi#@÷"@°Y_x001C_¥¹É&amp;@_x000C_T_x001D_'h$@ÞV_x000B_&gt;%@Û¤È@°â#@gÿ%öå_x0004_#@íQÌë_x0010_é#@òH_x0017_Ú÷ø#@·ÀÁ)_x0012_°&amp;@ZØ50#@üØd_"@i?Á%ó"@Ç¬¸QT&amp;@EQ_x0008_Üi#@W_x0002_%IM#@Î´_x0007_(Õ"@08¡_x0001_¥%@_x0002__x0005_ÔH[Ü.G&amp;@ßwän°	"@Nsm©y$'@_x0013_|ÞwñÙ#@èî¤Ð_x0010_$@S÷ò4_x001D_þ!@_x0006_Ù5{ÊV'@â&amp;ÜÒ_x001F_6&amp;@Êù^ê%@Vy!V`D&amp;@jéÞ	_x0015_%@ú'eN_x0008_¦$@Ù»-#õ&amp;@'E&lt;$@AÿA_x0003_#@}2½v¹"@¹ìH%@ÆMßC_x0004_%@tZ{_x0017_Ð"@Õõ_x0012_a(«&amp;@_x001F_9éÃÁÉ#@Ô_2ª$@7$¼L_x001C_r%@_x0001_òhÄ^¹$@Ôä&gt;zú$@uK¢±ÛM"@&lt;íhV%Ê#@ÈB_x0019_àz&amp;@~&amp;ÁÏkc$@Ú_x001B_³è§&amp;@No^³$@Ö,.+_x0005__x0007_SÚ&amp;@x_x0008_øû"@V´&gt;[_x0010_%@GTÚ#â"@2}D
ì_x0007_$@Ø±_x001E_üÄj(@d_x001E_NPÃ_x0005_$@X2Ëv5$@]´_x0002__x000C_9&amp;@ÕQé_x0018_ó#@ÒUÊ¾ìx"@ÛôÓE_x001B_#@_x001B_+ö&gt;Kü#@§_x000B_³x«_x0005_%@Ep$7%@ï¿osy_x001C_&amp;@¢c*}«%@}_x0001_@_x0012__x0002__x0006_#@¤Ä_x0013_;Bö'@èé|¢ý$@&lt;zL_x001C__x001E_%@?"iãXµ'@_x0007_?ÂUí!@_g&lt;O?1&amp;@¸^®_x0002__x001D__x0005_$@ÜÛ©#Ü"@ëv_x000E_D\_x0013_#@DVu3#@â_x0004_²§&gt;#@¢ËBÌ(&amp;@á]e_x0003_$@Êé6ÂOÿ#@_x0004__x0005_jó$èï$@S_x001F_"_x0017_Lè#@] ^_x001C_a%@Êç:ù&amp;@6ù$«#@tE_T¡$@d0Ç¤t_x0003_'@QTDp'@_x0018__&lt;W)&amp;@_x001F_åëV]&amp;@f:åzH=%@¶QZ_x001C_R6$@A±_x0010_Ð/V&amp;@Ì_x0002_¸Ìj«#@¯:Ù_x0015_"$@,öJ$@[{0]J×#@I´As&amp;@dî¹r³'@XQ×-:#@ZpîË_x0018_&amp;@áQü¦b#@C_x0014_ZÄ_x0013_$@ºö	0$@Â§UÊ5*%@_x0001_Ý_x001C_²Ì_x001F_%@·_x000C_¬È¢_x0001_%@6ÖÕé_x0013_'@_e_x0016_²Ò'@	?Ûé_x0010_Å"@!_x0019_k_x000B_#@ÛÔ½_x0002__x0003_Ò$@_x0012_+?µ(_x0001_#@ýX_x0017__x0016_{#@ÛA&lt;ç$@_x0008_º_x000F_lE"@¼V9±aV%@5=2©Ú#@©Ï2àh$@ãá*Gû$@®t¡úÙÔ#@_x001C_8ÌÛÕÓ$@Õ_x0013_	#¢¢$@?Û+_x001F_ä³%@Ó_x0019_Ì _x0015_#@_x0012_@ºí'@_x0006_Eí~N'@ì}{_x001B_'@ÑË'©åÕ&amp;@_x001D_è	÷H°%@_x0013_3_x001E_)û=%@1¦ö++Ë#@y¬W"@Ïµ±.%@)õÖ|_x0007__x001D_#@¶_x0014_Ê­6'@_x0007_ª{_x001E_Õn#@Îi6kIà%@UtÁ_.Ô$@'ü_x0012_½_x0001_$@Ã,g_x0002_%@ôEÖ_x0012_lÆ#@_x0013__x001C_¥æÚB$@_x0001__x0003_üùC{ù$@h_x000C_gÀÙ§%@&lt;Äß{_x0008_á#@àªZ¾9#@}é©Q_x001D_&amp;@y_x001F_PBã¢"@A2R!¥&amp;@ûs18Û#@C¥375&amp;@l_x000C_ÁG="@èÎ_x0005_³^Ù$@ý&amp;_x000C_ù"@f_x0016_n_x0005_Ì$@Iíaí11#@Fà¹#@5}u~"@W_x0004_r&lt;¾ÿ$@àFj}Sw&amp;@Þ	f =ê#@£MD$@¢éþ_#@_x0003_+âBQê!@Ö_x0002_#´;%@cë|ÊÙ_x0019_%@.×_x000F_ï«&amp;@¹¬ våå&amp;@2:Æ)C&amp;@4ç`äz%@_x000F_SUp_x0019_K&amp;@¤á_x001C__x001F_Ç'@ð¿!B"@_x0014_F5m_x0002__x0004_"$@B_x0011_ú7_x0002_[$@D¡Þe#@Á¼&amp;*$@+_x0002_XZ\4#@³ªQW&amp;@_x0018_9Lµ_x0011_$@²Ð@L_x0015_ä#@0Þ_x001C_}Á_x0003_#@ÒìñÑ#@õ_x0015_h#@QH­K"@a
j_x000C_Ù#@Üßÿù=ö$@ëÔxd%@Ra_x0019_.a?$@Eiju*Ø!@Ú±_x0012_ó&amp;@_ÍsV_x001E_L#@¸G(§¡#@AF®^¸#@NÙ¡_x0017__x0001_ý'@_x001D_èy%Ý_x0016_$@ÙñÉX_x0014__x0018_%@ây/¾"@wX`î%@_x0015_fyç7þ&amp;@p#ºQÕH#@&gt;Ü¹Á#@enÐø	#@K_x0008_&lt;²÷$@if½eº&amp;@_x0001__x0002_·ë*À=ì$@t%ùÎÈ&gt;#@Ó	ÆÕÖ#@lèðñ_x001D_(@a]ü&lt;~V$@ôÊQ_x001B_ú5%@ÙBÈÈß!@_x001E_¬äªÅ$@KX:È~Ü'@cqº
bk#@Õö»8_x0003_%@_x0014_B'_x001C_;C$@é¡tt#%@è' _x000B_Í%@ËL#B1"@*È?¥Ü$@¯Í£þQ(@_x0017_®ÝkÂY&amp;@_x0007_s|B÷t$@(ìx=Û¹%@{Ç¹_x0011_(@_x0012_£)Ï#@Î`_x000C_yP&amp;@`í&gt;H@{$@¼}WÎ5#@ÿý3Úð#@XW±½&amp;'@«äÂ_x0001_Þ#@ÏltB_x0008_#@~aï_x0012_#@@ÿ¤£ç#@°_x001B_"_x001C__x0004__x000B__x000C_)#@ÊXa_x0006_¤#@Å_x001E_'l#@*/,?_x000E_#@ôÊ_x0017_ËÌ!@Û*J«_x0003_Ó&amp;@gÖ_x001B_n&amp;@_x0011_õW¥x#@_x0001__x0008_¤E7Á%@vWÈz_x001F_&amp;@V_^ÝØí"@_x0004_Í°¶_x000C_$@¸Rr©"@È.&lt;ðL&amp;@	P_x001B__x0013_v'@_x001D_¹2Æ°o#@o¿_x0005_Þ#@ôå"02&amp;@_x0019_/_x000E_`_x0004__x000F_%@P·¨ÙØ%@|X;_x0001_B&amp;@_x0016__x000B_ïu3%@³Ï-â$@'G_x0003_&lt;/"@õ_x0005_K¿¤$@/¬¢Èyj"@¨}2ÖØ¬#@_x0002_Ün³#@`0ÍF'@ê_x0007_&gt;8ª#@	ìù_x0011_P%@_x0001_©_x000C_ô_x0018_$@_x0001__x0003__x001F_§Vö¨$@Ä¤¡=ª_x000E_(@¹\_x0016_W%@k¼`!(X#@)ø%¢´_x000B_&amp;@_x0002_o·Ç&amp;@_x0006_ïÙÉ_Å#@IÛÉ'Ý
&amp;@_x0004_Bû±"@È®U)¾$@ÑyÙ)¶'@ÀMÀzv%@jYWÛ_x001D_|#@"3ÿ­N#@b¶ï¹ð¾%@Æ´g¦²$@àõ¿:at#@_x001B_Ã`¿]#@_x0003_ÏfôI#@`ó6íÍ&amp;@ _x0014_øpÌ$@s_x0006_}(_x001C_ó&amp;@³ÎÙ/_x000C_õ$@V&lt;/_x001A_°"@T@xõ§m#@v~KKÑU#@ï­Ï?á$@?Þ×'GC%@O»è"@*VËhÛÍ#@MÐEã_x0003_+$@¢æ@_x0001__x0005_ëÂ#@v_x001E_h_x001E_Oé&amp;@_x0006_fg_x0003_g$@_Ü_x0004_®_x0019_$@üuaäu#@ú_x0014__x001D_-¯$$@%ÕÉv-`&amp;@B_x0014_ÎÿcÜ%@_x000F_	MúÊ­#@!m_x0017_.Y$@¢Ð8A%@Å^J_x001D_H=#@tn_x001A__x000E__x0006_\%@IaM»­#@·OjMý$@ã[0è,l$@_x001D_ç_x0010_"@Æ½@{E$@ÜÉ@_x001A_M#@_x0018_~òKà"@R¦ØS_x0012__x0012_&amp;@8f°÷®é"@*%
_x0017_cS#@÷Sb#@ &gt;p0áI$@ùoö6_x0019_#@§C¡æä$@¨)yh*#@#_x0002_
O®#@þ_x0006_U¡ù%@öá_x001C_é1$@Ñ39¯å¸$@_x0002__x0004_·Y_ ù#@:[tRD$@&amp;ü¡è¦Ý&amp;@_x000B_éÀ''@ï¤z_x0016_´®$@Mâ±5_x0007_%@²UHºà_x001A_#@¤½í_x0004_í$@~_x000F_´¼$&amp;@_x0014_XG#@&gt;_x000F__x0014_P|ë$@!¬V,'"@Ü_x001A_Û#°#@Ê_x001D_v¥ø2'@á©.¤]h&amp;@É_x0003_û%Ç$@DÃ_x0010_I¶_x000E_#@tÌ}$$@_x0010_$Ûº%"@K_x0018_2{]}%@¸5I7ºù"@BÆ1þ@&amp;@xU Øµ´%@ü_x001E_ã¿¶$@LbîgT#@?_x0019_FN%@S{Þ_x0008_}.&amp;@¤ÆèÚ#@¹¡.¶ï#@
EH·HÜ#@_x0001_¨Q*_x0007_#@8Ûò_x0018__x0007__x0008__x0002_¿&amp;@à_x0013_ò_x001D_#@(ç¨f#@x$|º¬¦%@FÖ_x001E_P#@þ¤ûXÓc'@¾_x0016_Àë­ä#@¦Î©_x0018_Í#@{§_x0015_Ò9r"@_x001F_¹¡üJ#@QY**³±#@§C±\uí#@óu_x0001__x0001__x0003_f$@ÿ¸Nf@$@­Ò_x0017_¥#@Ð
ßdy_x000C_$@Në_x0006__x0005__x0002_¨"@jöÚG_x001E_#@_x0011_Ö/2_x0007_¸%@_x0014_!_x0006_Ü¦·&amp;@ÎÁ!@	_x0011_DÄÏ$@ä_x001F_HwÀ#@@	
½_x0002__x0003_%@_x001C_½×LD2%@¿â$@0¶N3~#@né;_x0004_¶$@Çôù$@Å±R+T&amp;#@?V&amp;¹_x0012_È#@W:;AJP"@_x0001__x0003_HãÖd5|%@ö@Æë4÷%@O8z_x0001__x0015_#@17Ê_x0013_ÓH"@á«_x0002_FÌ%@½ë*%@
Mò_x0010_#@I.WÁ;Û$@»¤¹W$@rss&lt;§,&amp;@_x000E_q­ì×%@¹¸_x001B_¡V#@~mAA_x0018_'@È´]7z#@F_x0019_©ÑÛ%%@_x0004_¢Þ^¦#@â8C_x0002_T_&amp;@ó_x0017_Ö__x000B_f%@Ò¨_x001D_¯b&amp;@_x0008_0)Ë"@µÉ3;#@ÉBÐtá6$@8|N6Q¬%@(yáÕ_x0007_$@_x0010_î·{8"@_x001B_Ó-À;_x0001_"@_ÁÆR_x000C_#@&amp;ë,Å_x0011_&amp;@Û6eÕ$@ê¦Té»"@~ãQ_x0003_"@»§ü_x0003__x0001__x0002_°O#@:h}gì&amp;@¾l*$P#@&amp;øL_x0011__'@Q4=uHá"@·éè-é%@ÖC(0±%@AiÎÓ_x0012_%@wVñn%@ë9{º[ø"@îèç+¶!&amp;@¢
Ë÷"@ìº±ÃeÝ%@MÓ=øl%@nõ_x0018_ôÃ&amp;@_x0012_ç_x0015_+àk'@Vï±S]%@¼ºØØ¹­&amp;@ÜY^`,ù&amp;@*K(ðÇ!@Q¾ãHç#@5Hï÷_x0006_J#@ØK2$@(ãÜgz7$@téÒ)H_x001F_$@U§_x001F_#@RÖMU&gt;Z%@u_x0015_G­ãk"@YõÌ³Þ$@¨ÜØB«"@vþú¬`%@Ú_x0006_=+_x0014_$@_x0004__x0005__x0007_´Wï"@lÖ,µç­"@Ce©Ç#@¹{$@À°³pï»"@å_x0007_Lq8Õ$@Ì_x000E_!_x0001__x0003_`#@ï]«J³ö%@æ£[»	ç%@~Íp)Ð_x0002_&amp;@,õOðÚp$@öpf@'@_x0013_a_x0006_·=¯#@¢vÑ~H$@adÉÂë"@&gt;Peò_x001B_:&amp;@&gt;fæx_x001A_$@=W¯¥®i$@;Ç_x000C__x001D_(@ØÆìêÕ?"@+¯ß ¹#@¬_x0015_D&gt;&amp;"@_x001E_Þß'%&gt;$@2U_x0011_6'@ qs¿#@AäêÐ ^%@NÜn1&lt;v"@	9¹p±'@ãß4S$@òÐ_x0017_##@qtJdÌQ'@Ä=]_x0005__x0006_ñ	$@Ûä¸©ñ|#@îÌF°µ#@lq_x000B_¥"@-Ïs&gt;±È%@©_x0002_ñõ(%@(4µ/z~$@#ª4Æð "@Ö_x000B_â_x001E__x001C_3(@\FºQC#@Õ®Qþ_x0017_Ç#@_x0003_ìÉç_x0006__x0001_&amp;@_x000B_TÏç_x0016_þ"@_x0004_½¸ÀxQ%@^ß"ø#@p(©/4$@C:uÞ_x000B_"@¯É_x0012__x0002_V»"@¥$p_x0002_$@¦YZ_x001D_éã"@_x001E_Q_x000F_F$@¦5QßS$@2$_x001D_xÕï&amp;@+¦Ý6©%@_x001E_±Þ_x000C_R"@ÈÄÊ1&amp;$@n?Äså!@ã¼¾éÔ["@&gt;_x0010_CCmô$@_x000E_	_x000E__x0015__x001D_p$@Ù;prñ"@_x0017_'	Ü\b"@_x0001__x0002_Úf8­Ù¯"@Ø_x000C_MB¾ò%@Ì³èÌ$@Õ©ø¿°©"@$É_x0012__x0013_~ó!@²`YY#@_x0012_°_x0005_.Å}"@1)4O©@#@D¸c=Í»#@º´í¶_x0019_#&amp;@¾q_x0004_,Ã%@7Í%ëL$@\'_x000E_FE_x0012_$@ÈÌË"@¬T]\Ñ]$@Ùºç#@±&amp;_x0002_I«Ì#@ÐM¦Yä¶%@p_x0003_
Ø$@ÍVYv®r$@6ÜÐAo&amp;@J1ñ+¥#@Ë_x000C_{_x0006_'$@HIë+NÖ#@7­NÅõ&lt;#@½0É(«"@0_x0012_£q¼&amp;%@Æ{ØUô_x000E_$@Æ_x0011_²[_x0011_q#@_x0015__x0014_Àõå"@~ãq'&amp;@R¼æ_x0001__x0003__x0015_s%@_x0005_C*9v$@!Ã_x0002_ä°h"@å²\PÀ%@ÏªQÔË'@¦Xè0°g#@F Í¦«#@l_x000C_Ä§6#@_x000C_³°cûÓ%@¦­X²'@¢_x0003_ò¡_x0015_$@('^Ìdµ$@Å¥Þ_x0002_é$@p¥á_x0010_Yû#@(r^ñ_x000E_r#@§sÝ¼ZE'@M«ÃôÔX$@HfÜÈ,#@ÉH_x0014_úDU#@ kÞì%@G,{n0þ#@vÔÈy%@_2¡gÓ_x001E_%@'ÙÀ¾)ü%@Àµ70^#@_x0008_h_x0001_ªÔó"@g·R¨{_x0014_&amp;@j¥_x0004_î_x000E__x0003_&amp;@²Â?[î$@_x0002_:à_x001B_]Û$@ ÑÐSÚ¤"@Ú0ÊÂ%@_x0003__x0005_/
b_x0004_Þ_x0019_&amp;@c¢_x0006_m$@_x001E_CÓÄWï#@_x001D__x001A_ñõ$@l=&gt;_x000B_tØ"@Êoï_x0019__x0008_¶#@_x0010_·­'@_x000F_K_x001F_Jàf"@äÆ·_x0001_É$@4_x0006__x0013_ý55$@Ìt_x001C_×$@`UÔ/#@\ÂhÓÐ%@Öñôü_x000E_"@òÄ_x0013_VNÄ#@¬æók_x0007_¼$@_x0012_ËIø_x0018_´!@_x000E_v4¯F"@YLBdb«"@_x001F_K5_x0012__x0016_%@;_x001E_²;&amp;@l±1F|9$@&gt;_x0012_[a_x0001_Q$@ô¢rÝ4""@_x000E__x001F_ud#@MyNk%@lÞ_x001E__x0015_%#@Á¹w[º_x0002_#@Y"b&gt;'@\gÌ·?Í#@$ïÌ9(@¦ã_x001D_Ê_x0001__x0003_l´"@É5S.ã$@	É¡£#@¡¨æýX#@Ý¢Ù+#@à_x001A_6ÜÈg%@ñ¸¼Ë($@j-#¶ë%@î_x0019_ÉD	"@HõÐ]T[$@_x0008_iR_x0003_´B#@¿²£Ä_x0011_%@åæ_x0008_f&amp;@ò¯	ÎQÈ$@Vmý_x0010_.#@-)ÏÛJm#@&amp;ô×&lt;gK%@1KìX¦'@Õ_x000C_àS_x001B_"%@oVR¯Ñ×#@_x0016__x0007_(Ëñ&amp;@A³_x0002_9_x0015_Z"@à×x@9$@_x0006_ï°¹%@p#ª«Y$@_x001E__x0006_²ä"@UÁ]ÛE%@(ýuäV"@â3¡	%@/__x0018_ó½%@¾&lt;_x0006_@Ò%@T~Ø}$@_x0001__x0002_¬i+_x0014__x000E_Ð$@`_x001B_DÑó#@¶vÖwä%@óÐ#_x0006__x0017_ì#@U.â±A#@_x0018_Î¸L(@_x0019_%k\B%@_x000C__x0016_´|'@jûOÕ_x0011_-%@# Bv_x0018_#@|Ú`_x0012__x0006_F#@Xy_x0001_ã9$@ð^5Ov#@¡µ_x001D_ûlÏ"@[±"ü_x0004_$@ Ì8_x0007__x0013_p%@_x000B_D¢Ò&amp;@§¶n	_x0004_&amp;@ªciÏT$@
uÃ¯ß_x001B_%@¢F,_x001A_O¿'@)²À_x0002_f #@ItàE%t"@UÈÚyR%@Î`Ô³E¼&amp;@Ã)+)æô"@Ç:_x001D__x0015_4x"@)þ"Rþë'@Ì±_x0015__x0011_¿$(@ÔeÀJ!B$@PEQ|_x0010_%@ÜÓÚ_x000C__x0001__x0004_J"@* y·%Î$@Öÿ/îËm"@°Ä|@ |&amp;@2tÚ¿"$@XÂguÖÎ%@q&lt;Kä^a#@_x0016_uæò_x000F_$@L_x001A_(_x0016_$D#@é 8é$@Ï_x0001_={_x000C_'@(¾¥_x001B_("@ _x0010_Ñ_x001E_Á"@8 áJíÝ"@çF_x000C__x000C_3"@ÃÞÉ_x001B_"@ ,À_x0005_ñ"@x¯.O_x0003_K$@¡P\,$$@_x0017__x001A_£_x0014_^%@Dnãå&lt;8#@_x001C_B_x001F_+»'@®_x0001__x0012_	$@kn]e_x0015_"@É¥w@i(#@o_x0003_{Ìè#@`\º3¬%@v/{µ_x0002_#@LYOD_x0007_$@_x0016_ðx°ß#@&amp;,õÔ%@½9,k·_x0004_%@_x0001__x0002__x0004_*ÉÔþ"@ï$áè._x0017_$@Ñó"ë©;'@dVÂòÛö&amp;@úCøýÏÉ%@ÄVd*'@*¤\_x0013_#_x001D_'@bhÛßª"@ÚIm_x0010__x000E_$@?qqh_x001B_"@FTwe'@¼ydï@$@_x001B_8$]³Ê$@vÂ¤Æ%@i3!#¾7#@+ujj´#@vè6º©¢#@_x001F_¸DÑ$@ÙÜ´ìná%@:_x001B_vdÂ$@aìÿé #@|_x0002_´Üâ²&amp;@&gt;¡A¼ýO$@ôrfº$@_x0002_wF_x0010__x0005_$@ò]_x000C_ãÎ&amp;@VåY9_x0002__x0014_%@fÇa_x0011_sZ#@,~Æjw#@­$¹~Î#@_x0003_Ý©7¼§#@_x0001_	Ô_x0001__x0002_è"#@Á@ú@_x0016_#@Æ_x0001_ÊÂb.$@8_x0018_Ë_x0011_¹h%@ÿ_x0018_eaåÀ$@äY:jAÁì_x0011_£ù&gt;Áw_x000E_ÝW[ÅAÁ_x0008__x0010__x0010_¹4³?Áf¤_x0019_ë?Á¹®®ç_x001E_C@ÁêÎ_x0017_Þ@Á
´4Þ_x001A_@Á²y[1@Áª*A_x0016_È&gt;ÁC¸_x001A_h9?Árjç_x000C_?ÁÒÎ«_x0010_+J?Á5_x0019_Ó?ÁJhLd_x000B_g@Á}$³ìo@ÁØ_x0014_Ù®§?Á_x0002__x001F__x0011__x001F_þÎ@Ááü±ÃO&gt;ÁÄ½_x001F__x0002_LF?Á&lt;°Î3@Á2_x001C_f0_x0008__x001C_AÁõýÚ*J@Á^¡;©ðP?Á_x001F_?_x0012_Lk@Á+39v¨ú?Á&amp;ý¢GÇ_x0004_@Á_x0003__x0004_R«HSÔý@Á²NÀÔñ_x0016_?ÁZ(â-É&gt;ÁÝ_î@Áf]g¼é½?ÁB0¤¯(m?Á9Ed_x0013_@ÁÆ©vi&lt;@Áxuø5PAÁ_x0006__x0001_Dö_x0016_ü?ÁÄ
]5¸)&gt;Á_x0015_ïõ~[@Á¸?¹y¾?Á­¤yOÑC@Á±_x000B__x000E_?Á´8V_x001D_Se@Á$¸Þ_x0002_i@Áf ä÷ø`&gt;ÁJ_Ò_x001E_¬	@ÁèEÞj·?Álß_x001C_Ë&gt;ÁÚä¬ZEÍAÁÜÒ_x0005_ý1&gt;Á¤ôqÄ@Á AÆ%Y¹AÁ,/º­"@ÁbM_x0005_Ã©|@Á_x0008_ Ð_x001A_ð'@Á(üÑæ@ÁÎ_x001F__x000C_ÅS·@Á[À{Å_x0002_@ÁÎ"_x000C_w_x0002__x0003_mPAÁu!Dý6&gt;Á.ß©bðÍ?Á_x001C_N,Ïj?Á4ÛzT´?ÁMo­N¾1AÁ_x0017__x0011_oIªAÁ&lt;m?¼´_x0008_?ÁÞpÚQÒ@ÁóÄ;º7^@ÁwÛRd_x0012_hAÁüý_x0010_d_x000C_H?Á;_x0002_§34@Á¸_x000E_[Êpo&gt;Á_x001E_KýÎM?Á¬_x0001_¬µ@Á_x0003__x0002_RÇ¤©@Á_x0015__x000F__x0014_S
é@Áj^d¿&gt;Á1LØó/@Á/®bÒ§@ÁÄ_x001C_C«©á@Á*C_x0001_x&gt;Á#R¼l6@Áñ+¿nÕ@ÁFÙ*öË_x001B_@Á_x000E_J×õR§?Áù&gt;òb-BÁ_x0011__x000E_ìì&gt;Á_x001F_XØz@¶?ÁµåâÝ@ÁÂUÞ°@Á_x0001__x0003_Ë^ý_x000F_ëÒ&gt;Áë]µ|®Ì&gt;Á×²_x0006__x001D_ª&gt;Á0ë|n_x000E_AÁã;KæÆÀ?Á9¦Åà¾&gt;ÁH(&gt;G}@ÁÊ$-°â@ÁlÉ?=«?Áí72ÓB¾@Á1í]Øð£@ÁÇ%J+úAÁ&lt;AÒ_x001A_TE&gt;ÁJ_x0013_JØí­@Á½81Æ«AÁð#°he@ÁR¿}f@Á|	{q?Á6Kt7ò°?Á¶_x0007_!$®©&gt;ÁYx)@ÁÓâb@Á]u92BÁ5,G1°k@ÁØºµéU®AÁúû_x0014_zÎA&gt;Á·V´ú?ÁU_x0002_:´È?Á¹Lµ´ÿ?Á=76a_x000E_@ÁÊ!Â.Ã?ÁCÌß´_x0003__x0004_`_x0011_AÁØWéÕAÛ&gt;Á±Br «$AÁ:D³rz?ÁÎs_x0002_ð/ÉAÁtAKcQç@Á¯¹ý,é8@ÁNrÊI?ÁÙfâÐk&gt;Á¾:nÆzAÁ_x000F_v©l@Ádº_x0014_¦å?Áãf=u_x0007__x0003_?Á0ÛNW^`@Á_x0012_¶_x001C_$+|&gt;ÁÎ_x0006_±2£@Áà3¿ð?Á*;@ì_x000E_AÁ®Nl_x000C_Ú?ÁÁ-àY_x0006_¥@Á»©?¿Åõ@Á¨&lt;ølÜ9AÁ_x0012__x0006_P°¹?Á3;n_x001B_W_x0018_@Áy`=äq@Á_x001D_A+x®&gt;Á´2éÊ:m@Áoîi±­(BÁ_x000E__x0001_\?Áh ½ì_x000B_f&gt;Á/Äá? Ø@Á?S®+_x001E_@Á_x0002__x0004__x001C_T|º@Á(_òoF¸&gt;Átùý÷^R@Ájó_x0001_AÁ¶º»_x0012_Ì_x0001_@Á_x000C_	_x0016_	?Á_x000C_*h+A¦@Áhr_x001E_
ù=ÁuÃÑé¢@Á-1cVæÚ@Á¨Ñ!æ:@Á÷Ð}äà?Á:´0_x000E_æq&gt;Á_x0003_9$Ëz\@Á/õ¡lÜ\AÁ·A?Áú_x0016_!ìµ@Á¿_x0014_Ô¼?ÁÐ;öBAÁµVéV@Á_x000C_¿û-+?ÁxÃU_x001E_-@ÁdPNæ?Áêúm@Á~k&amp;¯&gt;@ÁÌÿõ_x0015_³AÁÑ&lt;WånAÁEºdÉñz@Á_x001C_NH¾µ:BÁ¢Ð-&lt;ã@Á{Âõmoê?Á¥×=È_x0003__x0007_ê@Áå±_x0001__¶AÁN&lt;6ÕÌ6@ÁõR_x0005__x001D_ý®AÁÁ_x000E_}á_x0003_Â@ÁÊ8_x0016_@Á|aÄo±@ÁÄ_x0004_d¾³s@Á_x0002_`liµ?ÁUHÓ¥@ÁàQ_x000F_.?Á¬o_x0006_Wd'?ÁÎX!ÏG&gt;Á_x0008_oÅºþx@ÁÖ_x0011_æP_x0016_·@ÁV1â_x0007_|@Á¨*uW{W@ÁÑ-p@¹ÀAÁ_x000E_&amp;XÙ@ÁÎGë·1&gt;ÁdCí/ª?ÁÆ1C_x000E_ê?Á§é`C½û&gt;Á®Pª+@Á`_x0018__x0006_Ö¥ý?Á_x0005_£ ²ô?ÁÖU%lÀ@Áni_x001B_h|@Á9S¼vI¨@Áv_x001D_Ý5 &gt;Á_x0019_(_x0008_£±ñ?Áß³ ô¢?Á_x0002__x0003_ªçÙ&lt;*Û@Áy¬H½?Áý_x001F_ã_x0012_´ÆAÁ_x0007_ªÚÕqæ@ÁÑÍø­ñ_x0006_?Á_x000E_þ,ûfAÁF$R¸¿@ÁÌ_x0001_nY_x0010_ÈAÁI5]&gt;?Áw(m¡ÒÓ@Áv_x0011_9õ*?Á&lt;%­x[ö@Á_x0005_öa_x0013_AÁ[²ywr@ÁTp_x001F_Odù?Át@¹}ÎAÁL_x0007_+Ô?Á
IçcÒ?Ápô×Õ_x001E_[?Á3W_x001A__x0010_5?Á¬/µ	õ?Á-_x0015__x0016_mGÌ@ÁÐ_x0010_ü_x0010_WAÁÆ/CÁìAÁÎëÂ_x0005_@Áÿ!òk@Á®ÅB.Æ.AÁ_x0010_c_x0017__x0002__x0012_Ù@Á§Ï³S6AÁ¸Úú&gt;_x001D__x001F_@Áç_x0019_c·\#?Áxv_x0014_O_x0001__x0005_J_x0015_AÁÛ)_x0001__x0012_&gt;&gt;Áx¶_x000C_&lt;_x001B_Ë?ÁXÃæTG?Á«:_x0006_¶_x0006_Ã@Áïi]n¬@Á{_x0003_ÅXÅþ&gt;ÁTïë9ïg@Á_x0016_Óõûã_@ÁÚV´_x0017_A¬@Á_x001B__x000C_Öà¡&gt;ÁQWãßgAÁ=_x0004_h(_x0013_AÁ_x0015_&amp;,i?Á_x0019_ãNc¼&gt;Á¾QN¢_x0014_AÁËß__x0015__x0004_AÁ_x0001_]_x0004_û?s?ÁB3àfÛä?Á¬ ó{_x0004_BÁ_o( ßÏ&gt;Áá_x0012_ypL@Á2:Bâp?Á0Íû_x0018_¢±&gt;Á_x0010__x001F_åË}pAÁBe_x0019_æ&gt;ÁlÐ_x0002_D°Ü?Á¥íB`Æ?ÁV_x000C_g_x0016__AÁ?©_x0019_?ÁAA:'Á&gt;Á4(¥èÄ?Á_x0002__x0003_²_x000E_ä_x001E_ÝÅ@ÁMÝÀÁg?Á:¹Â_x001B_ý_x000F_@Á_x000F__x0007_`ç¸@ÁEäq¿?Á¹!Üÿ?Á§³Hb^X@Á|þ®_x0011_@Á
_x000F__x000B_õ@Áéd¥oä?Á5o¨_x0012_H@Á£D]ö_?ÁRy(F¸;@ÁÒ_x0001_	é_x0008_@ÁX©o_x001A_2ÔAÁìÔÂ¯@Áè¤$­&gt;ÁEÜÙí1ßAÁÞdQ6ÆGAÁÜt4nkD@Á¤_x000C_¬/_x0008_AÁ_x0003_}tU_x0003_BÁô_x001F_4äù@Áøí_x001A_·«@AÁt½U»)AÁëñ´rGK@ÁN½ÕÕAÁÉªcÝÍL@ÁÌú³@Á¸Þèâ_x0003_@ÁFÆÎYAÁ&amp;C_x0003__x0004_s(@ÁÉ=Ð_x0001_Â?ÁÌ1¦Üì@ÁðìêP_x001C__x001A_@Á_x0006_Cb|Êà@ÁÌÅÒ¸
@Áüãè?Á_x0015_h&gt;Á%_x001D__x0018_0¢_x0018_?Á¡cÒL_x001B_ý@ÁBNõ×/@Áøùä¶Nn?Á_x000C_[_x001D_ò!@Á¸ÝÀ¸_x001C_ß&gt;Á²O%óý&gt;Á}tê¨/q@Á²z¼_x0012_Ù)?Á¸Î.é_x0005_È@Á|Fß&lt;ü^?Á¬_x001D__x001C_Éò&gt;Áf_x001B_Åó÷À@ÁÃ¼MFû?Á_x0005_!óù´AÁÒ&gt;#8@Á_x001E__x0003_v}_x0012_@Á~I-r@ÁKi_x000C_ñ"b?Á¦_x001E_«'@ÁOá_x0010_ÅùÛAÁ_x0002_eTÄÿ6@Á_x0004_ÈËÚ(AÁ¯¥¤_x0005_»@Á_x0002__x0005_/&gt;«Í0?Á_x0008__x0014_Î­sU?ÁÞ_x000E_oKØ
@Á¯sY0ã&gt;Á{ ªèNV&gt;Á«jÉc©_x0007_@ÁÌ¥VdHD?ÁXoÜ_x0014_@Á'_x001E_,zY@Á/òJ_x0016_î»@ÁDx5!_x0017_Ñ@Á _x0008__x001A__x0011_w@Áe­¶¤*{?Áx¨:ús?@ÁÊuþ_x0017_¼ø@Á_x0019__x001F_0_x0001_ph@ÁªbÈð;@ÁÐ¯­Çþ]AÁ^_x0003_6
ü&gt;ÁU=¾n@Áªu¯Ú	?Á3?ÊÎÖ@ÁzÝó_x001D__x001B_æAÁ©ògñÂ?BÁ:a_x0002_h!®?ÁÖ_x001B__x001F_mà_x0010_@Ázøv¸A?Á¤z°®cß@Áb_x0013_owÜ_x0004_?Á±+_x0015_£»/?Á*EsLKO?ÁÑöýL_x0001__x0002_NCAÁ?^_x0004_^¸v@ÁÊ6dzw@Á\Ø;ä@Á|¯ÿþ¤&gt;Ád_x001F_f}¥²?ÁZvîÜO7?Á±dùI	@Áö£x¥_x000B_?Áò_x001A_yÄG@Áz	î_x0001_&gt;Á¦1¶Êz@Á½Ù¢¿g_x0010_?Á+6é_x0002_Áå&gt;Á_x001A_÷ÓMMÉ@ÁâUÛX_x0011_Ì?ÁLç&lt;IÓY@Á£&amp;_x001C_^_x000E_?Á\¿Ú5BÁJ¿ýÝÿ@ÁõrêE@ÁÒ«ßo{T@ÁÑK_x001A_Nf@ÁJ&gt;iWÙ&gt;Á}V1_x001C_wY@Át5ùéZü@Á3Â\M°0@ÁÁ	M_x0017_#BÁ'UÔ$ø?ÁlFÓ±¸?Á1_x0015_ìzdð@ÁÐ¥*½`TAÁ_x0001__x0002_ °«¶J~?Á#[T_x0006_AÁe©#ËÅ&gt;Á ²µÜ_x0005_8@ÁèÞöþ&gt;Á_eK\F»@ÁÕ8Õñ_x0004_[@ÁjëýÐAÁÑºkaàAÁÑ`_x0018_Bà}AÁOZùõrâ?ÁyAêæAÁ=_x0015_ÀÀo@Á_x0003_4h__x001D_`AÁ_x0014_"ïú&lt;@ÁqUþûbV?ÁSÛ_x001B_8&gt;Á»ÌáS4¸@Áf_x0003_pZ°?ÁIÃoÊ¦¼@Á}tiÂ|&gt;Á²_x0015_,_x0014__x001B_BÁ|_x0003_7_x000C_Ç?Á¿~Í_x0015_AÁ¥$góDAÁÔ&gt;}|_x001E_?ÁÝ»
7(g?Á·_x0017_¤q½³@ÁÒ~P­1?Áyg=È¿AÁ_x0007_9Ý¸+?ÁÐÉZ_x000B__x0001__x0003_(M@Á@\`zôÏ?ÁãÂÔQ_x0013_?ÁJHÈë@Á_x000C_,_x001C_E¹'AÁ'à¹@_x001E_(?Á½_x0011__x001E_vAY?Á3_x0015_0C&lt;oAÁ\g ®K@@Áq_x0010_Ëñ(AÁ×ägl2_x001D_AÁø¹·_x0005_¡S?Á¬Ç_x0005__x0008_AÁT _x0016_5_x0018_î?Á_x001F_0Hæt@ÁËð²e©ã?Á|×_x0008_@Á@Á&lt;,_x0015_¾ç@ÁÈëaÂ­F@Á_x001A_Ú»aÄµ&gt;Áù×&amp;1o@ÁX£¡5`Ø?Á pcé+AÁ_x0002_âuÚ¶Ö@Á_x001C_4Ç_x0002_fAÁÆÆ+rp@Á{ÔvG(ØAÁ÷H{_x0006_?Áá=þ¢_x001D_?Á_x000B_VYvyÃ@Á!1_x0013_e&gt;ÁQ$V_x001E__x000F_@Á_x0001__x0003_ÉQPÂ8²@Á ]ÖÙ_x0018_&gt;Á&lt;Þ3º_x0005_Ê@Ám_x0016_h8÷&gt;Áfgm¢?ÁÎ#ÁX_x0002_³@Áü¾6£Ë&gt;ÁÆ[²Ø_x0015_?ÁN ¥_x0015_¬¹@Á(_x0017_+ÎZ.@ÁpÕ_x0007__x0003_HAÁ/_x0018_É§#½&gt;ÁÔ¥Hî&gt;Ámø.« _x0019_BÁ÷buï4_x0015_BÁs_x0010__x001C_ù¬Õ@Áp
 6ÿP@Á¹u_x0015_Æ_x0013_A?Álí-¤ã2@ÁÒc ÉÕ?Á¤3úf¡@Áæ;MI?Át_x0014_HT³@Ál÷¢¿Q@ÁB2ÿFá«&gt;Ák?ÁgbôAÁê_x001A_ÄëÄ@ÁX$°
5~@Áp±]ý_x001E__x001C_@ÁÏm=1ê@Á_x0012_Ùé_x000C_&gt;@ÁÔùµº_x0003__x0004_|W&gt;ÁL7#_x0006_a@ÁPvXâÎ·?Áè_x0006_¾_x001B_¨AÁ£ýÑ_x001F__x0001_ï?ÁB/WI?Á¯´ù22@ÁºZ&amp;þ;b@Á_¾_x0002_M³$@ÁG|rã°n@Á#_x0015_/@ÁÛ_ÇÒbE?ÁÇá+_x0006__x001D_8AÁ_x0005_©¢SÜ?Á^Àp+«@Á(ìê³[AÁ«þÁÛÙ@Á²S´ü5@ÁÕ´kw?Áã}³Ù@Á&lt;L÷_x0017_@Á¤®ë)
AÁ&lt;öÐb_x0008_@Áö&lt;Ò_x0008__x0006_AÁxÁÎ¨\?ÁiîÌ 7ñAÁô-õY_x0018_@ÁþÍ´-AÁ5EG	AÁSx_x0013_®1@ÁªËLrAÁéÉ_x0008_åcAÁ_x0002__x0004_#ä§Ê@@Áðë_x0019_Í_x0003__x0001_@Á_x001D_5&gt;í_x0001_?Ámién_x000E_qAÁÉmÊB@ÁP²LNAS@Á*ÚìX¬{@Á
_x0006_öB@Á*¬÷Ë_x0011_@Ár!ä0@ÁÖn2_x0012_	%&gt;ÁJ_x0010_d£P,@Á_x001A__x0011_H_x0008_a?Át¬_x0011__x001F_C?Á/fà3×¥@Á.å«_x000E_"_@ÁF4VpâK?Á*ë_x0018_bñ@Áèv_x001F_b@Á9kø#@Á_x0012__
´¥:@Áâä_x0014_&lt;mAÁ_x0004__x001C_Ò_x0016_ 6?Á(_x001F_3Ö_x0017_è@Á\ç_x0018__x0016_:?Á|Ü³ÇD@ÁA{C?àú@Á¢m²ç4Ð?Á¡_x0007__x001A__x0014_\?ÁïIe5È@Á¥m­s?ÁêE~_x0002__x0006__x000F_á&gt;ÁAÒz4@Á_x001E_Ú\7h»AÁ@jËÎ_x001F__x0004_AÁ_x0005_2g,_x0002_AÁá4áef²&gt;ÁI_x001E_ vó?Ápaý¦²ö?Á®­ÿ¡?Á1¡ 3AÁ f8_x0015_:@Áæ2Öx­@Á¤Ø?FAÁãú_x0001_"&gt;Á+DbV_x0001__x000F_@Á_x0010_z&amp;ª_x0014_@Á·!Ä@_x001D_Í@ÁÛ_x0005_	ÊLAÁ&amp;²	$D?Á=Ù½_x001E_Q&gt;Á·Qb_x0015__x0017_@Á_x001F__x0003_Lmd¨&gt;ÁóÈfp AÁ	jEÞ?Á«¿+ëÄî@Á&gt;×_x0014_lÇ@ÁÚx%&gt;±ýAÁï½®Uj@Á¦_x000B_ècû@ÁDo~ÑÑA@ÁN¼+?Á^NÎ_x0001_!AÁ_x0003__x0006_£¸o³AÁØz+!Ê4@Á4_x0017_«_x000C_AÁ_x000F__x001B_ájýò@ÁW_x0001_çs_x0004_$AÁh_x0005__x001E_G~Î@ÁjÅËÌ_x0012_BÁ_x001C_ß×nÙ?Á_x0010_]òXCÁ?ÁîöpQ¦tAÁ~j¡ã÷ª@ÁÍt§Ê_x0010_AÁr_x001F_$p=AÁþ=f_x0016_!AÁi/¶c AÁÐõ_XAÁTÛ_x0007__x001B_5@ÁWKBÅW?ÁL&lt;ã_x0011_P?Á)¸¶'×Ü&gt;Ág_x0018_&gt;ÏµïAÁ7*iD@Á²ÚÍ-Z@Á&gt;sø_x0015_ø/@ÁùnÇÌ÷@ÁfÆ_x0008_­³_x0006_AÁ¦º²bAÁ_x0008_â/_x0017_@Áb_x0013_¤a_x0002_p?Á \j¢@Á$Ws_x001A_ìÖ&gt;Áé_x0006_¸_x0001__x0002_,?Á	AÒÑU@Á×ÖIk_x000B_Ø&gt;Á½`?E2O@ÁÏ_x000B_ßÑ?Á`h[?Á¿_x001B_$_x0013_£&gt;Á¡Bpi]Ê?Á4ÉâQ?Á¥µã³ÞÂ?ÁµOÈAÁ_x0012_NW»ç?Áùm:}ô@Áî^_x001D__x0016_?ÁÂDF¶_x000B_l?ÁoàÞîÍ_x0013_@ÁÜKéÄ_x0006_@Áé£0ó @Ávâ_x000C_ ?ÁxºÑÂ@Álq&gt;_x001B_¾AÁ_x0019_+_x0016_ÃÉ\&gt;Á'È±_x000E__x0019_@ÁPBy¬^@ÁS_x000C_Í_x0005_Ö2AÁ_x0010_ÇG_x000C_»AÁAï¸íÇ?Á¾ô%ì+?Á³§_x0011_ðº&gt;ÁÈ?f&amp;@ÁO+µ\@Á¶K»-@Á_x0004__x0007_Sî_x0012_¯@Á«M_x0016_Ï&amp;¢AÁ[ÞÆ÷vµ&gt;Áñ`ö&amp;AÁa_x0019_×Ð_x0011_£AÁùüà?O¯@Á_x0002_ªeAÁ_x0011_ÓyRß&gt;ÁÖ_x0003_(ó½x?Áo°_x0005_éAÁ+ôPÄ?Á_x0005__x0008_nkì@Á»û@+@Ác©_x0002_jXRAÁ@Rf_x0011_µò?ÁL_x0001_ )Ó´?Áè¥ÍfwU@Á²_x0019_´¬m»?Á.ÌºµÑþ@Áb5n+X?Á¡|_Âa@Á&gt;48º½@ÁÈa_x0006_³×@Áé|¼8?ÁÃU)¤vAÁÊH°ÌÊ_x000E_&gt;Á ¶Ô©ÏÔ&gt;Á7«|çÝ@ÁÁUnAÁ{w, @ÁÚX\é0lAÁ_x000F__x001D_³I_x0002__x0004_ù@@Ábrýðw?ÁÙkYÓ@Á&amp;¸xé&gt;Á_x001A_s2Cù_x001B_?Á_x0003_v_x000F_Â_x0015__x0004_BÁFÚü_x0006__x000C_AÁêÊî{¯?ÁTÿ×ì?ÁfÅÛò£?Áëºü_x0001_I@Áå§l?_x0008_F@Á§_x0010_Yò4_x0003_?Á_x001F_zÉ0d3AÁHY1_¾@Árvún?ÁÚOXg_x000C__x0014_?Á\iË_x001C_;&gt;Á»_x0010_Í±ûÝ&gt;Á&amp;À_x001A_-c?Á;ëú~@Á_x001E__x000E_àDÌ?Á_x001E__x0016_eä_x001E_@ÁO^zõ@Á½_x0012__x001B_ì_x001F_@Ák&amp;_x000B_LQß?Áº?_x0013_P)-AÁ_x001E_nj`ÖI@Á¨fX Äß@Á4áÁµ$Z&gt;Á£ÐìÇ@Á1üwr§_x0007_AÁ_x0001__x0003_Ý&amp;Å-_x001C_d?Á°aml¥?Ánù]WJï?Á_x0010_ 8#è?Á¦£_ð^S@Áç__x0010__x000C_AÁ¡Ú¶'ý=@Á¹¸AÎ_x0012_iAÁåa\OBÁînÀ_x0015_^_x0003_@Á_x0010_¯m_x001B_yAÁh_x001D_­¼&lt;ô@Á`&lt;¹_?ÁÞÏ_x000C__x0011_¬¥AÁ_x000E_Ì_x0003_")@Áx	å}?Á°á³c_x0017_&gt;ÁÛìä@^?ÁÓ|3_x0019__ã@ÁÈþ]&amp;&gt;Ál`]5;?Á~YóN²c@Á­e½Kz@ÁO_x001B_g83@Á_x0018_ªJÉ2_x001A_?ÁÍ_x0002_cÀ@ÁÑ·r_x0013_AÁ­&amp;ÙAB@Á_x000C_Ý¼Ì#@Á¢$
Ã}@ÁÚÈ§~XÚAÁ½r&gt;T_x0001__x0005_ªì=Á§¿j!_x000B_@Á_x0017__x000B_¼U®u@ÁFéÂwd@ÁACk_x0005_úAÁV&gt;ðÐ@Áw¯)¬Ä7AÁ_x0016_t[~RAÁÀ_x001E_sÑ¿N@Áìa]_x0011_aG@Á=c_x0002_î­Ñ@Ág«_x001D_Ì´@ÁB396
Î@Áê­a_x0007_Ü	AÁµâ/Úu?Á6GÜã?@ÁQµÇêÒ_x0011_?ÁÁö®EJJ&gt;Á®ñ_x0008__x0003_@Á¯G+ø_x000E_?Á·a¡Ú{&gt;Áòbþ?Á_x0013_ÙàÖ?Á¥ý
E¨?Á@_x000C_Y _x001C_Ü@ÁÄXMÜ&gt;ÁªÈñGK_x0007_@ÁEÅÇvñ&gt;Á_x0015_³ÒÖ¬@Áäç¨!}?Á¢_Êª?Á¤_x0005__x0004_Ë@Á_x0004__x0005_2ê_x0017__x0007_@ÁÂ¢Ðc_x0006_î@Á_x0016_iÖþ_x0002_öAÁ´@ÀO@Á_x001F_Ñ_x0003_2¢ª@Áçx~y±AÁÜÁE|o-?ÁN_x0011_vAÁôû_x0001_ñÜ@ÁMV?AÁÞ''@*AÁ_x001B_'r_x0016_VAÁFcW%Ðy@Á¯Ùl?Á¶1¥X@ÁzPWÜ¥?ÁFPeÏNÑ&gt;Á_àÀ
[BÁ²MÔ÷_x0016_%AÁë£ÏEc&gt;Á´I_x0011_Üª:AÁlç_x0003_n_x0008_[AÁ§,_x0002__x000E_t?ÁyRÁ¤·è&gt;Á_x0012__x0006_t£Ç_x0002_AÁLï^÷^_x0006_@ÁÙóÈ_x0002_¸@ÁZ3ý¤Ç_x0012_@ÁMö°ª_x000E_@ÁçîzQ?Áª]]s°_x000F_BÁ/YÏM_x0003__x0004_Ô0AÁ_x0013__x0011_à#e*@Á5r¸6_x001E_AÁì_x001F_o_x0018_AÁ&gt;ªáx@Áu%$9@ÁÞ}VG??Áó·_x001B_ß^KAÁ_x001B__x0001_ÎYõ&gt;ÁBÃ
l±K@Áó è;AÁ^G¨Í_x000E_4?Áðöfoéð@ÁïÈó_x000E_ªk?ÁÝÜ¤ ¦_x0005_BÁYqv_x0003_@Á©Ó%é?ÁÁÃl@Ú?Á*kþO®e?Á_x001F_ý_x0002_ìëAÁ£ÉÊ @Áp_x001A_oßW_x001A_AÁ
_x000F_« ù@Áy@_x0012_°xAÁ34_x0019__x0008__x000F_úAÁB²_x0008_K{ó@Áýló{?Á;_x001B_i_x001E_Z'@Á4WäMAÁ\â¥QdAÁæ^9_x000C_ÌÒ@Á_x001F_¢_x0018_;B.@Á_x0001__x0003_zÁæ7g@Á®m!Ò_x0018_m@ÁàÂÏ`;AÁÇË²p1_x0004_@ÁµtÕn{_x0002_AÁÊh
SSf?Á_x000E_sÃ_x000B__x001A_&gt;Á[½fp_x0010_ì?Á(_x0004_Ò&gt;_x0018_N?Á_x0015_fÉ_x0014_t_x001F_?ÁWK¼_x0012_AÁ6ßª?ÁMO_x0006__x000E_ÎT@ÁT¸42JAÁ_x0017_³c_x0005_#AÁæX~ÙHQ@Á¬r_x0006__x001A_ô&gt;Á 5`N_x0015_@Áå
¼î}t&gt;ÁQ?a®@Á/ØÕi@Á¥p _x0016_O_x0019_AÁ6iSÂÚø&gt;Á_x0008_ú¾äG_x0001_@Á1§_x001F_î_x0015_Ð@Áú÷_x0002_(AÁ_x0015_®D± ?Á6È¨_x000F_r?ÁQ¤'_v?Á/7«¥fJBÁUðÝ04_x001B_@Á·[Ý_x0001__x0002_/©@ÁotÿFUAAÁwþèY_x0003_cAÁ½9_x0017_6Ä@ÁH3Ïû*@Á^?9¼_x001D_@Á|Z71\?ÁÎCÈªêËAÁú£¦¥Æ@Á6Ù_x0003_@Á_x001C_¶­}Ä_x001C_@Á(_x0004_²Ð~I@ÁÂÄ._x000B_4%@ÁZÓ%à§@Á_x000E_§_x0007_-fß=Ábx|4AÁFD3_x000E_IAÁÌQ,ëîwAÁ_x0014_aO_x0018_AÁ7´8ð%?ÁîT=ß5OAÁØwòW%@Á_x0015_)¹O_x0010_@Á¢¿4g´@ÁîZ]Úu&gt;Á|3ØõÊ@ÁE_x0003_ä§g@Á¿Á^~º?Á_x000C_¿CÏAÁ_x000C_ÉÀö£?ÁÈ!0.Ö?ÁpR'_x000B_&gt;Á_x0001__x0003_JG_x0017_¾c_x0006_&gt;ÁAAÐò?ÁBkív?AÁ_x0019_Sü_x0005_eDAÁT½ ó¡@ÁgÝÎz[_x001F_AÁZü_x0007_²=?ÁGõ_x001E_ä 2?ÁJ§u©_x001B_AÁ_x0006_mªE$?Á°_x0015_MÉP%BÁàz_x0012_5¾M@Á'Á_x001A_»õÁAÁ_øëø{AÁE{b¤@Áw_x0008__x001B_\@Á8ÈÌÐ3@Á³æMÆ@Á1Ã(ú@Á_x001A_É£qAÁ1_x0007_8ÎAÁJ_x001A_C¹á?Á-Ð¿.ÓTAÁ~PñÎ'AÁ[&gt;8_x000B_&gt;&amp;@ÁË\4ÏëdAÁqâe_x0005_Aà?Á^Ô3^&gt;AÁ0·Ô_x0005_båAÁB¤_x001C_¤&gt;]@Á_x0007_ïAQ_x0019__x0002_@Áå¼-8_x0003__x0006_jãAÁ&amp;xµ$¨AÁÚõ¨_x0014_?ÁFÚ_x000C__x0002__x0016_AÁ_x000B_ðÃ|g_x0005_&gt;ÁµG:ÕT?Áw¦Ò÷·¤AÁð(tþ÷?Á_x0014_!_x0017_Ïö`AÁîP4_x000C_¯_x0003_BÁÄ?v!¢Ä&gt;Á2·_x0010_ò¶.&gt;ÁÔÂw*ÑÎ&gt;Á]_x0004_ ²ÒAÁlæ_x0015_åuu@ÁÅ!_x000B_8tAÁ,jXf$_x001D_@ÁGi-KÔ@Á5_x0005_]sï&gt;ÁÎ)³¢ø_x000C_@Áç®XË_x0010_Ã&gt;Á®óÂé?ÁÏ_x0018_çCb/AÁr²ÜýbBÁèçI8_x001D_j&gt;ÁSÐÃt7_x0010_AÁvP)_x0001_tAÁ­L_x0017_¯qkAÁ"b6Xå@Á|t#Oc@Á_x0010_Ù_x001F_ýeAÁùLV­ã&gt;Á_x0002__x0003_Àï!"@Ár	¯«Ør@ÁÑ)sº_x000B_@Á£ØµeL
@ÁÖm_x001E_ÿD¬?ÁgG ´"?Á"$ZÚ_x0015_@Á­$3ñ¦@Áv&gt;-¥_x0010_ë&gt;Á;)¤i_x001E_@Áâ¶_x0017__x000E_P@Á_x0011__x0013_¶qBBÁW_x0018_})¯_x001F_AÁEWä_x000E_ðÎ?Áãª``Û?ÁT«BH_x0019_@ÁÁ¼õ&gt;\ï@Á¯?d_x001A_AÁ_x001A_ÃÆ_x0001_At@Á°¦rÔL?Á!yRÅ5AÁ·Ú@Á­?Áf!£E!@Á`ùl×_x001D_BÁÇ5Ü_x000E__x0005_@Á½GÝk_x000C_@ÁÔ_x001B_OV@Á¤Nö×,/@Á¢¢_x000C_´À_x001F_¶?F_x0010_Ðá}´?¦ªç·?E3:Ä_x0002__x0003_U1¸?P_x0016_i
¿¶?ê _x000E_Èè_x0016_µ?þÎ_x0008_º?²Ä§}¬ÿ³?Ö âõòî´?8îá¸v]´?_x0005_íÐBw¸?ì3,PF6±?%]_x0005_ï"_x0001_»?0íé¶?Ð ZÞÌ´?P_x0004__x0011_`µG¹?_x0002_ö_x0010_sT ¼?ÖóJBf±?ê_x0015_¥¥_x001E_µ?EèVL¼?§uà_x0008__x0010_¸?_x000F_çÛ¤´?ò^-û]·?h´Ð7" ´?DL}_x0006_¹?ü.N±_x0005_ôµ?DRu_o´?ýûõµ?³o/ëD(·?_x001F_*½?+º?«:þ¿kÓµ?¹D£V_x001B_´?ó¢¸ÏZÒ»?/Ï_{0¹?bþ¥Rq_x0019_»?_x0002__x0003_71á_Gõ¸?qÉÑJµµ?rû6²µº¹?¿_x000E_×%·³?}AæJ2v²?3Ä£K´?b¯_x000F_bµ?µÌÊ0§^»?¥^Z#Ë¨´?ü__x000C_Ò_x000E_¶?Bbd-$´? îÀ`_x000E_3·?Q_x0016_ÐR)ª¶?¨íÅ_x000F_ó·?:¤rJôÒ·?_x000F_N_x001C_×_x0015_²?z	Å_x000F_²µ?¯+ø_x0011_N·?¼óF|¶?{_x000C_k(¤¶?rÈÝ(vIµ?¹°_x0005_ý&amp;D¶?"×üÜ»_x0001_º?¡h]x£³?É_x0003_¤®L®´?zN|¤¤L·?{sù_x001F_9µ?!àRÆ@¹?cª{_x0003_åU·? ­R°àµ?,×Áx_x0004_åµ?ÁÙÿg_x0001__x0002_Güµ?xá¤ _x0003_¹?g!!½0¶?gÖ_x0015_T&amp;¶?DáGüêµ?Ð_x000F_äñ´?Z¶×÷·?àõ_x0013_x0æ·?£Ny[_x0007_Q¸?·_x0017__x0016_2ìÚ´?ZÌ¢ë·?×ý&gt;¨ø.¹?_x0006_éõ&amp;µ?,£bûø¹¶?¹_x000C_ÆÂ®_x001D_¶?ÞÃ.~|n¸?BD'Ü2§¹?`Íwælb·?_x0014_µòöÕ¶?qKô,²?»Ã_x001D_äÀO¹?¯öm_x001C__x001E_¸?_x000E_Ä¢Ì:¸?©ò5_x0012_¹·?ï#ÿü@´?«[sÝæ³?g)u¦,·?ÞyÙáq"¹?g)_x000B_"À¹?_x001F_N¼
·?½öõt[¶³?l_x0011_dÔ4¸?_x0001__x0004_Ü
µÎê&lt;¸?+\_x001F_a~·?7V_x001D_ëtU¸?@gq5q´?_x0003_ç
*_x000C_¶?¢-Àâ¸?*}lÃ¶?Ö_x0015_óÄT³?¯ªÈ.¾&lt;º?Y?&gt;&amp;~µ?_x0011_èÃ½Í¸?wíá{@·?NßÝ}¶?7ÂÛ¶?tðæ$¿·?Ã±êT¹?_x0004_öÇ·?^v(Rw¶?0}î1ü³?ÕùÁbþ=³?§ø5dGò´?`^d£U»?öÒ¶ÏÒ³?_x0010_¥¶¬zµ?_x001D_~Èa_x0002_´?ó`_x0016_©_x001B_ñ·?_x0016_d _x0017_N3³?áù^'ëoº?oçNÛl·?þeò_x0015_Ô´?GPëv
·?N¸_x0016_¸_x0001__x0002__x0015_²?_x0001_/æ]lµ?_x001D_ì§áF¸?{ûQ¹?Ðã?Ö±?Âr_x000E_ ±/µ?xòuJv+µ?A÷¶?g%TòU¸?_x0004_(Ù½)°´?vmÎ¹²?órº?_x0014_¿µ|¼_¹?b_x0005_¨´Ók¶?ÅU$ÁNn¶?½^±p:·?&amp;.±}N+¹?øA	-6r¸?ÞÓ_x000B_í_x0005__x0016_¼?8_x001D_´Åü_x0015_¸?MaíÓñÂ¶?_x0013_÷&lt;&lt;£Ò¹?­CS·_x001C_³?°ÉËÍég¶?Ó_x001B_8Ð·?Ï¡îÁÉ|¸?Wuäµ_x0010_»¸?HÕà_x0005_¾7¸?È2M«v·?7"_wúd´?wíôMÜ·?å]É/7Þ¶?_x0003__x0004_Ð@6þ¹?8%S·5µ?Ø_x0017_Ô¾R¾¸?x_x001F_£jÜ´?½àÜnzc·?@¸ Bìº?ù¶f_x000E_4}¶?:¾P¹?6¾Ë´ë¸?oõºÃf´?j¬
B¶?ÙNìÀdµ?-ç.+¡¹?R®ì ªu´?1gÐqÚ³¶?_x0008_&amp;ÁÝaS²?N¾â_x0001_L¶?¤èZë¹?Jy«ÙL¹?á_x001B__x000F_(_x001D_B²?_x0002_&gt;¹'_x0017_û²?_x0004_Ë9m½ï·?À{#º×µ?Á¡ð¹?îs1í·?zí!_x000B_·?¾«t ¸?_x0012_Á¡UÁíµ?çÔ/ã_x001E_º?_x000C_úë½w¾³?ÊÓ´·ã_x0019_·?ê]aþ_x0002__x0003_.'´?1®ìÐÙº?fà¿O´?ºÈ£_x0001_hµ?¸ø_x001C_ÓÂµ?A_x0002_tk_x0001_·?2pÞµ?í_x0016_ii´?ê²ãd	·?&amp;hr)Z´?x9á¬_x001E_m±?_x0003__x001B_îÁ³?_x0006_|§~CÊ³?Nø~~_x0013_µ?ü²à¼Ï¶?_x0001__x0002__x0016_6¶?EãTOjTµ?÷m"rêó¶?_x000E_"f/Àý´?´ñÖ_x001D_öµ?rÊp/·?}jyLõ¶?_x0007_¥_vãµ?&gt;$tÄH·?9Åª^5»?DèÊ6,³?Ò}p/Ð_x0001_µ?_x0004_)è:Ç_x0004_·?ñ_x001D_Ñ£þ¯¸?ü_x0005_Á·?_x0014_¬Wâø µ?&amp;Ú_x001C_=$¯¸?_x0001__x0002_\_x0012_8mHï¶?y2jÛµ?ÝJ_x000C__x0007_1_x001F_¸?µÐ#á´?ü?×Yû¹?f.¥_x0012_ìµ?Xâ#Í0·?¿Ø"Z_x001A_µ?_x0010__x0007_·?Å_x0006_B­L¸?¡×ªë¶?L¡´_x0004_´?ð[Ó¶?Ïts±³g¹?,;PL_x0010__µ?þ_x0013__x0016__x0019_¶¸?#ÀJCH³?WöFÙ¼¶?_x0004_ÀúZ·?Jâh«·?ºük°5Ï¸?·_x001B_¯Jc.·?ÝE÷_x0019_Ã·?àP£ÔT¶?Ä¬TÉª»?í_x000F_úä:¹?_x0001_N_x0019_ÈZ¹?FfÙ_x000F_«·?è_x0014__x0017_5_x0004_¶?t@µZ³?hçvrÀµ?¯pN_x0001__x0002_©º?ZÄ-çØ¶?ýc_x000F_þiX¸?×Î&amp;G¶?,Ö×ê-Aµ? Üä_x0012_¶?qö_x0010_×§¶?_x0012_ï-&amp;0E·?÷ó'_x0008_³?âál_x0003_Ü­³?yw÷³_x0010_ò»?+qÅ_x0005__x001C_Ú·?Bÿ0nÆç¸?q :S""·?·U6_x0005_¶?Ä½ Êây·?_x001C_Ýê½å¶?ÿkVõµ¢·?rÙ6_x0007_B¶?Þ¹¥'_x001C_·?±q_x0017_&gt;Ôç´?ñ§Ç1_x0018_Z¶?;ÊAø_x001C_×¸?°*Húg§µ?ÙÈâëæ±?Dõ_x0019_L´Q·?¨Ð¶_ÿ±?y3Þ_x0016_=ð¸?à&gt;òdï_x000B_³?_x0015_/æ_x001B_¹b¸?µØnÈÉ¸?_x0004__x001E_ÐF(æº?_x0001__x0004_¾	in_x000C_´?_x0018_ü}/¹_x0001_·?ÖånÖa¸?}ùTR´?æL)Ñ_x001D_"´?{z§;_x0007_j¸?H_x0013_ù#Ú_x0004_·?§«ãÔ¿"¸?ñôUß¡¶?¿¯ôè#º?ºQIC¦·?üßÆ_x0015__x0014_¹?¤_x0011_`µ?DÝ_x0008_Þoµ?´»bå ·?Aëïø_x0018_¸?&gt;_x0004__x0012_L£p³?|ÄïQ¶?¾}Qùº´?´½e¹?_R_x0001_cK_x0003_¶?_x0011_GvQ_x0010_õ²?&gt;%%ëxµ?Ð\=44¼?
_x0014_¦¸?Yn_x0006_±÷º?9»f¬
¸?÷Õ_x001D_¿cÑº??K_x0002_h µ?bÃ
vÀ¸?¶_x001C_{hS¶?ûê_x0001__x0004_G½´?_x0017_Þ¼_x0002_­¶·?["p'º?x¾-Ý:µ?¼ãßì_x000E_Êº?UÒò. ¶?ªÖ¨Í´?{OÌò:@¸?ê|µi_x0014_
¶?9U¤5_x0002_i¼?xVn3¸?=hÿÐ´?Ì×`}³?¬s~E_x000B_µ?_x0013_­!®ÖÎµ?o"¬"_x0018_¸?
_x001F_&lt;B_x0003_uµ?i¬-bÕ²?'_x0010_±%_x0017_þ²?¨Ø_x0018_ü_x001F_»´?öþ_x001A_çáÈ¹?_x001B_Yä·ä1´?P?ð.¶?®ß"'£¸?8òßSé¶?¹®_x0006_ñ´?ù_x000F_Æ_x000B_¸?9ÚÎ Å_x000F_¹?íQ¥£I_x0006_´?¨â0úÎ_x0001_µ?Ì_x000F_A¥_x000F_\¸?÷iµ·?_x0002__x0005_¹-»½Bd¹?F_x0013_-V_x0011_µ?ÓJSÌ_x0004_?º?Û--|ß²?åbQÐO·?1£0L_x0011_¼?8I;_x000C_´?¯÷¤_x0019__x0011_´?jÝ/½Af·?¾KÐ_x000E_$b´?È0_x0003__x0004_¾³µ?_x000F_ì3~IÆ¸?~aù®â\¶?"a4"¸?_x0001_Í:ùûä²?ôÅ!3àµ?w¡1\Þr·?DÇ0Påï²?_x001E_}ª·?Tz6mUp¸?lër_x001F_ýR³?_x000E_úLl¹?8g3_x0003_Æ¼?« Î²¸?ñÃ£èf³?¢é_x0016_Ñì¶¶?_x001B__x0017__x0015_(Å·?ªõQt_x0003_¸?É:S0«_x0012_³?_x000E_Nþ`âµ?¼Ç¼OU¶?H&amp;&gt;#_x0001__x0003_V²º?àO+úfµ?ute:³?Ò_x000B_DLª·µ?CaÀöâ·?Õ^U;ë_x0006_¹?_x0012_0¢5§_x0013_¸?T1=_x0002_f·?Ð¿ÒÇß_x000E_µ?8ïf_x0006_²?_x0001_l²[©²?¼|\þµ?·ìp_x0013_åP²?¾¦ð?~¥¶?SS&amp;7±*¶?iw&amp;_x0019_8¹?e3B¤_x0006_·?sé=Î±¸?+/¸_x001B_¹ã´?T\Ó®}ÿ¸?#×i0ª`µ?÷¤2ó¶?&amp;¼?m?É¸?J'Ðúë¹µ?p¬©#HÄµ?¡¡ó¥qµ´?_x000F_µ::_x0013_º?¥ßk_x0017_Y´?(kO4D#»?_x001D_ûr[(W¶?._x000E__x0012_ø@X¶?rE×
Íåµ?_x0001__x0002_&lt;o®)*¸?_x0008__x0012_üÁ_x001A_·?%#FÑ·«¹?t|O/Ëf¸?º³¦ëBT·?_x0013_óÇP+æ´?éøÀ_x001E_µ?Y=ÚËµ?äsÈ¯º?ýM%ôÉß¸?Ã´?vbÜ¶?QöÎQæ½·?_x0001_¡Û3u¸?­b_x000E_%	_x0012_¸?L_x0002_ :z³?d;ÏzÖ¶?UD|_x0004_µ?Ã_x000C_ç´?â_x0007_^/_x0011_¹?d_x0010_åç°?_\ÔÏ.¸?¢_x001B_lª_x001E__x0015_¹?_x000F_H¯÷O¶?.5º¸Ò·?êò4¹?_x000B_&amp;Ã'*·?A5a_x000B_ö.´?l°g_x0017_:²?¶ó¨©_x0014_Ê·?ª_x000E_ÞTøÌ¶?C©´ÇIÈ¸?°&amp;&lt;£_x0001__x0004_o«¸?^§_x001B__x0005_N,´?!_x000C_æÀCÆ¶?´_x0010_£_x001A_Öµ?ÿ¨_x0018_z~È´?B+Þ,µ?*ë0_x0017_Ð®°?(ôz±¶_x0003_»?_x000C_ë£$ý¸?¨"Ý²j¸?±ò@Ûk³?~l§³? u¯&gt;bº?f&amp;¬t¶?¤/¶Ñ¶Âº? ù kÜ¸?(û\jö$·?_x001C__x0013_%!Ë·?øÑ¸O_x001B_·?ÿç§!¶?¾ùÀ='´?\¿þ%l#·?2Ô,8ÜPµ?_x0006__x000C_,¡Zº?D`ìö·?ÏT÷ô·?d:C·]¹?H_x000B_¨	X·?×M_x0008_F;¶?Ér_x0002__ùµ?-£_x001F__x0018_j¶?éX#xË¹?_x0007__x0008_zt_x000C_vS=¹?ÊåòÝg¶?ä¢­	 úµ?¹3Xçµ+¶?A¨Ù¸¸?Áuy$Êñ¶?úé_x0014_uµ¹?_x0012_-»®_x0006_¶?n´_x0005_$c#¶?_x0003_n_x001C_kÇ´?W¥BS¥_x000E_¸?%ËÕÔv¶?ªÅc@µ?~%A_x0013_X¬º?'7_x0016_2¹?AßSúÝ³?'\Ðì"µ?_x0004_:l¾_x0002__x001B_µ?­_x0008_O¶ú¶?©G8V&gt;[¸?¥&amp;.ÈüÌ·?æÎ³¼»?_x000F_wb£µ? y ö÷¿·?xyd!©µ?\Ú.øï_x001F_¹?WÏ£¥É&gt;·?ù¡h_x0003__x001F_¬¶?Òþ_x001B__x0002_Nð¹?½&lt;¢¨Óµ?_x0001_d-èî8´?³3CZ_x0006__x0008_ªÆµ?Ë©\ê1O¸?"_x001A_(_x0001_Ý¶?ïîÓÓ¸?Û_x0004_ÕÂQ_x0004_±?«BHÁeQ´?_x001F_AIÐö¸¶?ÀßZ¶&amp;3¸?ïØ7_x000F_xy¸?XÃb¿_x0016__x000C_º?r-^²J»?¿ÏdWÛÊ¶?ÞÉ_x0013_ç_x0005_º?_x0017_Èôúý¶?êË_x0002_ö µ?5bW¾e»?r_,1`Jº?«Z×¶2È·?¢lês!µ?CRýýì,¸?Ã_x0016_æLþ_x001D_´?É_x0017_Ñ~
/¶?Rx	Ëe·?½¯3¹ñ³?ó$í·?$,_x000E_]L¶?AnV_x0003__x0016__x0014_¶?_x0010_!¤úÿÎ±?7Áv^)r·?þ¡y¥¬_x000F_·?_x001E_o¼_x000F_5_x0007_¸?&lt;4_x0015_wy¶?_x0001__x0002_³­_x0005_Zµ?vJ©&gt;D·?Ë?#*µ?SéÖf9J·?µîÔ³?_x0006_þõ²?,\_x000B_D¨·?J_x0004_eõÃ£´?´«Êß¥´?7HÀFÆF´?oà­Mò³?Ëña@ñk¸?ç07ÏHÀ¸?äÉ_x001B_ÌFÓ¶?NI½ÇfÀµ?OL6[ë¸?UÜTô_x001F_´?=\_x001D__x001B_´n¹?v9$¼j·?ò¤îË¬»?§Ñ_x000F_5û¶?_x001A_ÛÌPÕ=»?_x000E_-W|J¸?Ö_x0010_óz«È³?dÕ^ë1µ?;zE\Åµ?ÎË.	`·?*Å¬×·?D_x0019_5õ¶?_x001C_ÂN_x0016__x001C_à¹?_x0001_%o2d»µ?ãõ_x0004__x0008__x0003_Mµ?Nµá
æ¶?Ë_«Ã¸?l¸³g5´?óöq 	)·?a®3o_x001E_·?_x0006_Êè÷2¹?Ì_x001B_²:Ù°»?n\A2^¶?¾`Â¨5ü·?E_x0002__x001D_¥OÄ³?'¡Mþ¶_x0014_¶?ë_x0019_§º?fÜ}+s¶?_x0015_Ë_x0006_k¯Ó¸?1zRôú´?_x0012_êkÙ_x001F_³?Øó_x0008_Ñ_:¶?Ä¼_x0018__x0012_Ç´?AüU_x0008_Âº?×=]ý_x0007_¸?Ó_x0005_æ9ÓI¶?Xjý\_x0001_C´?r¢LÕ*»?¾±&gt;{K}·?çwzJl¸?³Èv½jµ?_x000E_^_x0007_póå¸?Á¡e¾8§µ?ÒL9®¶?«_x001D_Ê_x0010_&gt;µ?º_x0008_?º?_x0002__x0004_íxP-¶?_H_x001B_&amp;x·?³ã_x0007_À_x000F_·?ð9 ÁaE¶?êÒ_x0006_Y_x001A_¯¶?õF[NN¶?d]¸N_x0013_þ¼?ê]o-ý\³?P­_x0003_º·?Õ¿¼]_x0006_µ?_x0017__x0005_xTÒVµ?r¸¿w`¿µ?O{=ë
ó¸?_x001B_{£&gt;É¶?Ë'á¡_x0012_Ø¸?R_x000B_´Ò¬Íµ? Ýûæd_x001E_¸?.`WÖ±?n]_x001B_cz´?Ô_x0018_Aa½µ?_x0018_R;:_x001E_·?H_x001E_jº?ï_x000E_(mß·?_x0013_)ÌOM¸?¹_x000B_±Ýö,µ?ÙôÊ}[·?§,_x0001_Âv´?Û$ELümµ?Õt\Nì·´?H´ÁùÕ¹?Æyé?ºu¹?}¸Ï_x0001__x0003_ã¶?¾V/6¶?ÒB·Ø¹?0-_x001A_ÿ|Y½?¸ïØw-Ð·?ëªJï_x001B_º?vÃ´n0Ý·?ä¥e~Ñ¸?&lt;ù»·?
Ùêi¤µ?ÿ;oÿ·?È:_x000B_Õp.¸?Ø89wÏïµ?LÈÙö¸?f_x0006_£X¸?$dSìg$¸?_x001C_M_x0015_µRî¸?ÆÖè%¹?^_x0002_Ud(i¹?MMÊ×Jµ?§¸à·?ü¬+Ä¢¦´?Iú_x0008_^¹?_x0018_n	'_x001C_×´?¯DòÅ&amp;´³?S8ÏîF´?±íem;¸?¯ë öó|´?[má_x0001_¡4·?Ð$â² ·?_x001B_'ã3¶?èlÜ.	¹?_x0001__x0002_êÄ_x0005_cýµ¸?÷_x0013_TjOº?:rr_x0016_Yt³?Í÷`(µ¶?_x0015_=ÿ_x0016_´?¢_x0001_°îxt·?Ö_x000F_z_x001E_ô¶?¸_x000E_îl~_x0002_µ?^Ò$Äø¾¶?^&gt;=1/®·?v_x0008_Æ,Î¹?w0Ö_x001E_Ø_´?~_x0013_N°Ú_x0015_·?u_x0015_pdÎV¹?oäo·Ý´?Z_x000B_gCù·?ÓJ_x0013_ù5¤¸?­÷E&amp;üß¶?_x000C_f5Û_x001F_*³?¡_x0018_%%Ù·?B/_x000B_Î¶?±×åÞ&lt;·?,³_x0001_62_x0008_·?Ü^²/ê¶?¸3í2Ü`¶?_x0006_ÍøìÕ[·?_x0010_¦plb¸µ?_x001D_¿OoC¹?TÊá0Ò_·?!^Ûÿ&gt;¼?4¡²ô³?.3½_x0014__x0004_	û£·?^²T_x0014_·?&lt;_ ¨º?ÊvCÏ)-º?ðP_x0011__x0011_FÎ·?ÐC_x0010_É¶?_x001A__x001B_ _x0003_þç¹?ÝåZÖl³?=õ.N_x0010_~¸?¤Ò__x0005_ü¶?¾_x001F_-_x0008_'¶?:ÊÜà¸?T,vùõ¯¹?¨}A;e¶?§»@_x0007_©$¶?SÇ_x001D__x0001_|¹?_x000C_¡_x0013_8_x000E_¯?_x0006_ðuúqØ´?_x0010_¾_x0001_ÍW_x0005_¸?¶Á°Å¸?_x001F__x0010_U»·?^HS²ÚS±?ç_x0018_"_x0012_²?Ð¸Gé(¹?r_x0019_À¶?9âeL³?#eû&gt;©~º?ÐD¶ê?¶?%"öÎÃ¹?b
ÖLº?¯~ùÙø¶?	_x0002_ñeÆð¶?_x0002__x0003_ÈM¼-_x000F_µ?ÄÀ_x000F_¾c²?)zS¡3íµ?_x000B_á¥TF_x001C_¹?°_CVr¹?j=_x0004_©#¹?_x000C_`BF_x0013_·?_x000E_¯dá_x001E_D¹?nÆøy{µ?ª´ZB_x000B_³·?X_x0003__x0018_î¶?Þ×åþ_x0001_ô¹?|CFmÅµ?g|4m¶?9Fxçº³?¦fè7(ù³?_x000C_£:_x0013_ë»?D_x0011_JABã·?_x001C_q6Y_x0007_8·?"»Wf^·?Çc|uº?¾ÞcÀl·?2ýGù§»?ô(xx²æ·?'Ã)ý¸?pÒ¶dû·?_x0002__x0011_I{c_x001E_µ?¯?$_x0017__x000E_Ü¹?;ùG'_x0015_´?`ÒYâN¶?µÜø'V´?qÔwº_x0001__x0005_T¨³?ÎÁ'(z`·?ÄÓ_x0012_Úµ?=_x001C_ü¹l{·?Åî_x0005_Ç_x0004_ê´?xw÷D8¿±?ð¼Ñ_x0002_¶?Sz_x0010_a7·?r_x001A_ý÷µ?(QÑö_x0001_¶?ÝJø1´?ê¦»¹p¶?_x001A_Î³i_x0005_n²?bÙ_x0017_ç¾2º?CÌÀo'Sµ?Â_x0002_©_x0011_ê·?¨[×H¸?R~îé_x0001_¹?uÁÚÒ·?vÅÔ7_x0016_¶?_x001A_à«¤Ã´?Õ`2_x000F_ê³?Fg_x000C_.Û_x001E_»?_x0003_Ê'WÅÝ´?_x000B__x001D_ê×l°µ?ª_x0011_tÂ%³?åä,Z¶ì´?Ji_x0004_:å³?§.ë_x000E__x0007_¬µ?Öd¦_x0002_·?9¡xk¸¹?_x0017_õí¹©²¶?_x0001__x0004__x0007_%|Nµ?bYgjJ_x001A_¹?OÈd&amp;ã¹?_x0015_ú_x000B_+7º?_x0017__x000C_Ìç¶?_x000F_J°ªSº?V¯_x0017__x0014_2µ?©¢^ÁÿF·?ÔN_x0018_¸?YàÅß_x0012_	¶?ékJ_x0007_µy¹?áj_x000E_¨¡Å²?_x0018_[iSqµ?Â2+_x001A_Ä¹?fú@ä$²?FúGz²_x000F_»?¤1A_x0002_R_x001C_¸?|¶|vq¶?ql'_x0003_T¸?_x0012_ßñ~{Å´?JÞpüÑ·?7º/_x0011_§·?brÊ´µÎ¸?_x000C_Õ_x001C_¡P;·?_x0019__x0001_EÉrµ?_x0015_dÕ_x000B_ò±?mÛ²µ?_x0008_²._x000C_m¬¸?Ô_x000F_6?²º¶?
Át´É²?r|Ýè_x001E_Yº?Kâ_x0015_ú_x0001__x0004_H)¶?Ê_x0015_éÀÉµ?Sð_x0007__x0016_º?íû£_x0005_ÿ¹?/^Â_x0004_Ïµ?L§^³Tµ?[_x000F_»XÑª¶?8Ui¸q°¹?üL«_x001A_¶?8xv0ýã¸?Iª°b¶? Å_x0012_WýS·?|»ÃwO&amp;µ?Cr_x0002_·Ü_x0004_¶?ñAÇ£ô&amp;·?_x001B_¶:_x0002_±·?Â0q±jXµ?ï6ªµ?ÔCàMÛ¸?YÑ£Wþl´?_x0013_ÕÛòJ¶?)}¶¯'Fµ?fÜÊ	]ë¸?$_x0017_KQ°m·?¸#_x0008_µ?{	3Àc&amp;¸?lÑæ_x0003_@³?Ì ûB¸?L_x000B_ÞREº?¾XùÓGµ?øhäE^¸¸?/ÇGºÉ5·?_x0002__x0004__x0018_iî&gt;%ä¶?ÍÇd_x000C_µ?_x000F_ß_x0003_ÇÞÐµ?k9ZKPL³?Õì)Uì³?_x0018_È\bæ'¸?/µo*´g·? _x000B_34_x0012_·?B®_x0018_	8»?ÝºPÔý|½?2_x000B__x001E_E|¥¹?Eh^Ó&gt;_x001F_¶?jyG¶?ïÂIãH¹?mðø'o·?^IÏÏÂ³?ØÚÜ&lt;òdº?8£B¼&lt;¶?G
íAd[µ?×_x000E_ÆS§¶?bºrê´?_x0011_´æ_x001F_L·?¾NÝùª³?èYé_x0003_±¶?¿Ð®0Û}¹?J_x001C_Õ_x001D_þ_x0005_¹?yqß6]µ?¬â~qB·?Æ¾y:Òµ?U_x0001_[°?ÎÐê_x001A_¹?TÕòL_x0002__x0003_M¹?¿Î«t!²?:Æ2¶?`]Ã%¸a¹?Vø_x001E_H_x001A__¸?d|_x0012_Â*À¹?©[5³ù¸?.xÈ±{v¶?Û_x0017_jÊµ?y²GÛ.3¶?þÁ_x001F_L¡²´?¨uæØ²?2f_x0006_º·?ÕLmB_x0017_¹?@|Ñ¶\Û³?_x0001_¾t¨Æ¶?_x0001_[x]¸?ßOÑ_x0007_ ¸?/;;l¶?¤¯&gt;S	¸?\^GiA´?t HÿÝº?/_x000E_¥_x0013_
Üµ?zm»_x001A_ú´?\Ø·J¤òµ?¬ÕÅª_x001D_µ?¤(çÊc³?½©,_x001F_ì8¶?	ôb¢¤_x000C_·?fê5¶?òÇ_ÑeÜ´?5°ü¹?_x0006__x0007_p¿÷qà³?è°l+ÑÕ·?`D{ÃB¸?0H_x001C_Þ&gt;¶?¨
@ì_x0006_²²?Ñ'&gt;_x0011__x001D__x0017_·?_x0007_g-'Ñ¶?â´ÔâÍ³?µáÂ_x0003__x0002_¸?_x0011_[Õ®÷´?*ÿR÷9¨¸?*éJÆà¶?-q  îó´?uñØÊæô´?ªØ_x001E_[¶?9¸:"_x0007_÷¹?/ðµ?ÓO_x001A__x0012_µ?pã¶{Y·?-ü_x001D_BüÀ´?_x0015_Á'ûZ_x0019_³?ßvCÃ~®µ?i&lt;Õ_x0019_Þ·?g!){º?A_x0001_Ò×Á_x0017_´?*wH_x0003_wCµ?U+#´þ·?\1¤_x0004_Ð´?_x0004_@£°u¸?á¦B_x0005_¶?ã_x0019_NZÁ·?=¢ÆX_x0001__x0007__x0015_¶?ê_x0006_L6¸?=G_x000F__x0018_µ?¨é_x000E_Æ²·?zð¯_x0010_y@¸?WÛwï=´?ñ_x0005_É0²?~3_x0003_KMÔ¶?4¨«{#~µ?`n|_x0002_·?»úJ_x0001_¯·?¬íÖÛnÿµ?´^RÀj6µ?î^Ç_x0015__x0004_á·?SÓ_x0006_{®¬?l`;6s_x001A_¸?¯T_x001A_Ú¶?_x0014__x001E_V²Å7´?p uÊ_x0016_Ì´?¼_x0013_íZ¶?_x0011_~_x000B_G_x0010_¶?Å_x001F_ZÖx_x0018_¶?_x0007_ý»úµí¶?¬&lt;ú¶îè·?¤±b`}y·?_x0015_¶_x0007_Q»e¸?½µM ÿvµ?F_x0017_&lt;·º?¿ãº_¶?ÃuU½Ë¸?÷qf_x001F_@éµ?_x000B__x000E_l¹çµ?_x0001__x0002_Hvÿ¯=5¶?_x0007_jæÊµ?õ	#c¶?ØN
s¸?H_x000C_2ÓÓ«´?ôI/mj·?X(óN®&lt;µ?ìÿ,v\_x000C_¹?Q_x0010_Xj$³?¾COHøu»?5ÿð$þ¶?_x0016_cÜy¶?#,Î&gt;Ç¶?,Ï5k¿?Ø¥¦P­µ?¸MëßÚM´?Õåwµ_x001C_D¸?JpãA·?_x0003__x001A_Lßù½²?¸1oÁB_x001A_¶?t~_x001D_,?.Í?¦e9IlË?®CF_x0008_ó1Ï?×3º:_x001B_þÌ?Îí"Ý_x0017_Ì?à ×\xÎ?ó_x0016_Ö_x0010_Î?Gâl÷¿ÒÍ?A·Xmh Ì?A¹ÕÉ_x0015_Í?ÃN¸åÌ?(Ü._x0002__x0004_öÌ?Å_x001C_ºò«òÎ?´_x0007_u]nbÍ?@¹Jó_x001A_Í?&gt;L±µÎ?_x0013_ºæ¥E¬Î?RYÛÌ?ûÚÊ_x0010_êÌ?3j
´_x0001_ÓÎ?_x0003_¦õ_x0008_@Î?BEþßÐÌ?×ò-?öÍ?&amp;_x0007_´_x0002_ìË?ñ?n¼_Í? %þ=gèÌ?)_x000C_{ðZYÌ?;ö&amp;$ÍÍ?÷³_x001E_;_x000F_Í?&lt;ÜsÍÎÎ?Í·Ô¹Ë?_x0002__x0002__x0002__x0002__x0002__x0002__x0002__x0002__x0002__x0002__x0002__x0002_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_x0001__x0001__x0001__x0002__x0005_Ø_x0002__x0002__x0002_Ù_x0002__x0002__x0002_Ú_x0002__x0002__x0002_Û_x0002__x0002__x0002_Ü_x0002__x0002__x0002_Ý_x0002__x0002__x0002_Þ_x0002__x0002__x0002_ß_x0002__x0002__x0002_à_x0002__x0002__x0002_á_x0002__x0002__x0002_â_x0002__x0002__x0002_ã_x0002__x0002__x0002_ä_x0002__x0002__x0002_å_x0002__x0002__x0002_æ_x0002__x0002__x0002_ç_x0002__x0002__x0002_è_x0002__x0002__x0002_é_x0002__x0002__x0002_ê_x0002__x0002__x0002_ë_x0002__x0002__x0002_ì_x0002__x0002__x0002_í_x0002__x0002__x0002_î_x0002__x0002__x0002_þÿÿÿÿÿÿÿÿÿÿÿÿÿÿÿÿÿÿÿÿÿÿÿÿÿÿÿÿÿÿÿÿÿÿÿÿÿÿÿÿÿÿÿÿÿÿÿÿÿÿÿÿÿÿÿÿÿÿÿÿÿÿÿÿÿÿÿÿÿÿÿö_x0001_®^á}Ì?u_x0004_²}E´Î?£±0å«Í?øÕ|R+Î?[rÞòÌ?¶m_x0007_kòÍ?"
x_x0005__x0008_gÎ?`Fò&amp;_x000F__x0003_Í?ßJø_x001E_:Ì?MÃúï_x0008_/Ì?á_x0011_{¬ãË?_x000B_
_x0008_êý¸2NÎ?_x0018_ra4Ì?Ñt_x0013_´8¸Í?dü¢ù*Î?6xbl¤sÌ?_x000C_jã_x0012_!pÌ?ÚK_x0017_4®Ë?d ÞÃm_x000F_Î?_x0004_9gôÊ_x0016_Ì?¯bbÉ_x0005_Í?ûÁûGÍ? ÉÚ4ÜÍ?V_x001E_ÉË?Ê#ß_x0001_²Í?6åG*_x0015_Î?:&gt;î·Î?ð=5¬ÖË?&gt;Ç_x000F__x001E_uÌ?	Ý©ûJÎ?UÇã_x000E_ZÍ?G~x/4Î?*\öÌ?_x0018__x0019_?«PîÌ?_x0003_¿_x0017_]^ìÍ?%1óymÌ?_x0012_øi¦îÍ?ÂsjJö»Í?_x0007_i_x0002_P_x0013_øË?Á_x0005_zÎEÎ?A_x0018_¹cøÌ?_x0003_é´_x000F_Õ_x0017_Î?ã_x0006_3_x0003__x0005_úkÍ?R_x0004_!_x0005_HÍ?LÂÒ×Ë?&lt;:*¿°öÎ?=@®;_x0008_ÎÌ?_x0018_UØ$b
Í?âWï'k&lt;Î?hz¬IP&gt;Î?3f®uûØÍ?û%Muy_x000C_Î?É_x001A_¤b:Í?B³«°QïÍ?´[lËâ\Ë?ä©j{}OÎ?ØñkQrüÍ?._x001E_ëÞâ
Î?¡_x0019_|_x0004__x0002_Î?F)¦	¡·Ë?âQ¸sBÌ?êóùÿÎ?ö5ÎÍ?|_x0018_ÏÎÀ£Í?hØ_x0016_ô!$Î?_x0001_	#}ÓÌ?V¶RsCÎ?IÿcnqÍ?Ñ_x000F__x000E_èVÎ?[_x0017_¤H/Í?6Zàu¢5Í?0«¶?ÕáÍ?P!ÔuwUÎ?¦Å_x0005_ã×Í?_x0003__x0004_åò.y¦Ë?e_x001F_ðá¾*Î?íY²_LnÍ?¤úèôµ)Î?dÊâÌöÍ?_x0008_Ë~0Í?&gt;®è¥ÞÍ?÷øËe_x0003_RÎ?kKùÀÍ?_x000B__x0008_=T¹Î?	H"ÜÌ?ò¬pv__x0008_Í?ßJ Ë?e_x0013__x0016_jÌ?¼²oZ_x0001__x0001_Ï?{D_x0015_.|Ì?æ%u_x0015_Ì?¶Ê.LÊ_x0004_Î?¹§»­¢Î?ÖF3Vñ_x001E_Í?+G²_x0002_ÑBÎ?A¼3¯C³Í?_x0015__x001D_ÞsÀÌ?Ö|_x000F_*rGÎ?«Ç]ªkÌ?i_x000E_À\'_x000E_Í?J_x0010_ÅÑ iË?ºòÝ4Í?ñ[k_x000B_[LÌ?¤ÒÖ×jcÎ?	£_x0014__x001E_KÍ?ÒöC,_x0002__x0003_P­Í?_x000F_!GgÌ?¨çCC$Í?ÊòÂ1Ì?byözÁªÎ?ä_x001A_Î?¤ÒùÉ_x0005_Î?\_x0017_7÷_x0001_rË?ò_x000E_9Ì_x0018_Î?Jaà9Í?Jìz)à_x000B_Í?_x0010_ú_x0012_ þÎ?_x0003_Òaùy¯Ì?9_x0006_¡ÅÍ?h6³G_x0002_Î?5ÉÏ«tRÌ?_x0008__x000B_ü~Ë?ïåM
MÃÍ?S¨_x0003_ÏÎ?_x0008_ëü/¿æÍ?à6BçSÎ?þñj`VÍ?Lñ_x0016__x0018__x001E_Í?_x000C_}ÜÎ?6Õ­¿|hÎ?,8rSE½Í?nÍ?DÏÍ?ì_x000C_:#¤Î?¯³y/6àÍ?ë¨ÊÍ?µ=X*_x000B_Ì?_x000B_&amp;_x000F_ì%_x001A_Ë?_x0003__x0004_sMï¡Í?|X\½Î?ÕÂ61vÌ?ÅZ_x0014_tI_x0019_Í?t&gt;÷l_x0006__x0007_Ì?)_x000C_«f¹Í?VXs_x001B_;Í?_x0005_½6_x000B_ëÖÎ?µÙXwÎ?Pcú ­Í?à \/+_x0007_Ï?x_x0007_9#é_x0017_Í?í&gt;Pº_Ë?8,_x001E_d
ºÌ?;_x0001_7j\aÎ?ªÕ­òxÓÌ?ã-ì¿IÍ?ì*HÞH_x001A_Ï?®¡eæJÎ?_x0006_JÙ_x000B_)Í?tv½5AÍ?j
|,k_x0005_Í?ËkÿTäË?¢çÃXË?í_x001E_§&amp;äÈÍ?ÇÆ ¸£·Ì?ÅÅ(_x0010_·&lt;Í?Ñç2Úi²Ì?Ò¥áù_x0002_'Î?¸:_x0018__x0003__x0005_Î?s·_x0002_#øÓË?_x0016_MW_x0001__x0002_Ì?_x001B_I\êÍ?ØN½cÈÍ?eÖÈV{Ì?$
1&amp;_x000F_(Î?ù¢Iþa?Ë?äè³Ú)Ë?w_x000B_y5&amp;ôÎ?#_x0006_k
aÍ?ÖÃ§ ÜÍ?}º_x000B_­z§Î?P1Ì_x0008_#zÍ?§®Fj·ëÌ?ø@_x0013_÷üÍ?'»_x0011_|HÍ?áN#_x001B_ÂÌ?ûóC/²Î?(N2&amp;k=Ï?_x0002_ßQ¬°Í?Æð&amp;_x0006_ÈùÌ?n«Áô~Ì?&lt;øÀIP	Î?f/]½ÌÌ?\~ÁÕCÍ?ã_x001F_¨@_x0017_Î?fè_x001D_WÑÍ?¶N\Ì?uÔÝ5EÍ?sÅ
_x001F_%SÌ?ZíÍ	_x0011_³Î?_x0001_tÄÎ?JÕh~Í?_x0004_	¹¯
?_x0002__x000B_Ì?ÔBÚÛI¯Î?_x0016_)þN¥_x0007_Í?_x000F__y Í?ÓÉur£Í?Tnm5ØëÍ?¢òuîæ*Ë?Ix:R_x0007__x0003_Ë?Ú_x000C_«ór_x001F_Í?õùYeCÌ?¸G_x0003_²rEÎ?aýrÎ¥Î?ô§ß´ð_x0005_Î?å"_x0001_\Í?%nÙþà_x0008_Ì?ô9$iù"Î?@úãÞ¥_x0012_Î?(ó¼Ñ¶ÝÍ?¥êµÑ«­Î?_x0014_©_x0003_'_x001B_AÏ?È_x0015__x000B_çd©Î?fÀÜË?Ó6ms¤UÍ?Ì®½.ÄÌ?V»	"Í?g8,®7õÍ?¦_x0019_X³}Í?_x0006_{C.wÍ?×^5Ì?;´»ÈTTÍ?j@¼ß½_x001D_Ì?«5Ï_x0001__x0004_DEÌ?Í_x001D_ÿNtÔÌ?@c¼þÁãÌ?-IÏQÏ?PJ3jW¯Í?W4_x0017_Ý_x0018_Í? ±_x0003_g_x000B_Î?`'Ä¬@qÌ?|==PôlÍ?_x001B_mj´_x0013_ÝÌ?_x000C_3	z^¹Ë?·ýC¯_x0006_lÌ?E.W:DÌ?ªVN¸sîË?Ïi_x0001_¶Í?©¤çáÎ? ÞNÌ?_ÝÍù6Ì?í~: AGÍ?U74 _x0010_yÌ?a[Vjÿ2Í?¿U_x0011_ë_x0016__x001C_Ì?"µüT»Î?a¶àhÍ?Å¹nBèàÍ?~µQëÏKÍ?n_x0002__x000F_$OéÌ?þBé½íÎ?_x0011_Ý_x0010_H7Í?¶¯.»_x0017_#Í?ókô6ËÌ?rÔk#@ßÎ?_x0001__x0004_.OUÑ²Í?+zA)Ì?r4INPÍ?HtuþLÎ?º­_x0011__x0014_oÍ?îâìâ`[Í?¸±_x001E_Î?Ué{Se@Ë?_x001F_dðÊ_x000F_èÎ?q´A7¾Ë?²Òj±øeÌ?/_x0016_\_x0011_ÊÿË?_x001E_±ØÍ?Gw_G,&lt;Ì?6Ì²&amp;_x0004_¦Í?,Q=aÍ?6Ô_x0014_LÎ?	Íû:¾Í?d_x0012_)Ã·7Ï?Å_x0001__x0002__x000F_Î?ÜAÏ[¹£Î?_x0018__x000F_ä9Ñ)Í?EujÝÿÎ?eaP;ÞÍ?yñ_x0017_x'_x0016_Î?^$«¸_x0003_ÇÍ?a_x0006_ã2×&gt;Î?ºÌ³U¿Ì?¯_x0010_¶S
Î?O_x0006_µ_x001F_VÌ?4®&gt;²&amp;¥Ë?+ê_x0001__x0005_ÅdÎ?6{4ÒÑ	Í?_x001E_¿F_x0004_^ÀÎ?Hb7_x0005__x0002_qÎ?¶'ð$:Í?_x0017_Ë_x001D_^vNË?r_x0003_lê*HË?*Ê#/Î?~3Ä#]Ì?)¬·¥ü_x000B_Î?©sÃL_x001A_Ì?&lt;7_x0011__x000F_ÖÍ?LwÆºÌ?Ñ¼.liÂÎ?&lt;ô1¬Ì?¦&amp;F_x0004_Í?Îú-¡Ì?_x000E_RRU0GÌ?_x001A_¤_x0006__x0010_àÙË?làL_x0001_pxÌ?¹_x0007__x0012_ÎÄ!Î?4wi~Í?¬g÷ôÌ?.Âs_x000E_Î?æ+;ÏÌ?DR"ÇoÆË?g~ÔØ_x0005_ÃÌ?:éçwýðÍ?Vf®iÁÌ?Ãà\Íæ0Î?µÝiÎ?ÍRî~Î?_x0001__x0002_^c6_x0018_À½Ë?_x000C_qG¯Ì?5_x001F_n¿áÔÍ?¢tVö 4Í?ZE­zfÎ?è2g8¸Ì?_x001B_°(Ì]Í?Õ\ý_x0014_Í?ÙgÒÕnÎ?ïú	ÐHÍ?î¬²!_x0006_DÍ?)ºMÊ4ýÍ?¬¡îl1Î?¬_x0010__x0006_wóÖÍ?_x001C_i+!B|Î?[sy@ÛÎ?·#´_x0008_IÎ?ÝÇjÅOÌ?_x001E__x000F_TÍ?íØùå*Í?Ô_x0014_ýÒ.CÍ?§Q"`áË?ÈÇ ²ìÍ?ögfa¦Í?ï°³¨l_x0010_Î?P²8¼5&lt;Í?_x0003_af\_x0007_ôÌ?ÈX
ÇÁÍ?Õðy#orÍ?w=ïæÀÞÍ?h56_x000F_àÍ?ÜÇ'_x0001__x0002__x0013_=Í?åZâÌ?¤þû_x0008_càË?_x001E_ýú»ßãÍ?y_x0003_~qÙkÍ?o!r_x001C_[_x001F_Ì?é_x0017_ØSy´Ì?eÈ_x0007_hHªÍ?vúNÕÍ?°®ù7ãÌ?_x0014_ï=_x001A_k_x001A_Í?L»_x0008_º:nÌ?~_x0002_HN¶Ì?ñO$ÚÌ?©ºx_x001E__x0002_ÿÌ?DÌÒÖ¦Í?¯C´I_x0004_ËÍ?_x0014_qO`Ì?`¼à¦áÌ?fq;WÎ?YøIt'¹Ì?2_x0006_þý¸Î?fôÏn,ÒÌ?v_x0013_ã­È%Î?¥ÁÀ_x001C_ª%Í?öh2ÐÍ?_x0002_î9u#Î?Nd;J\Î?~¤_x0011_{Î?2&amp;_x000F_ÿ®eÍ?/¨n°úÍ?xqi²9¼Î?_x0001__x0002_©?_x001D__x0007_°âÍ?ú_x0011__AÎ?rÂÌ_Í?_x0015_;$æÍ?_x000B_íí_x0005_%Ì?ÎRÞµ*åÍ?_x0012_XahµóÍ?8@yMyÍ?_x0013__x001F_3Î­Ì?i4Ç¬Ì?é_x001C_ÔDk¤Ì?O`^_x0005_ïFÍ?_x001B_U_v¬ìË?ÚõææÍ?_x0016_e_x001A_%Ï?áõé	x)Î?&lt;¹.ÎF_x0001_Í?M_x000C_ vÎ?_x0004_Åùe	_x000E_Ì?Ðdô_x0001_ÉË?©Ï5S=ËË?÷	½0-_x0013_Î?×ÿÛ_x001B_YÅÍ?_x0007_R_x0016_üWÎ?ºiï_x0003_þ!Í?_x001F_Â¯_x0012_þ³Ë?ò_x0018_fdOÎ?\tçþÎvÎ?_x000F_,rEräÌ?Öª_x001C_ª_x0003_Ì?ðX¶¾­ZÌ?_x0005_[oì_x0002__x0006_ê/Î?O7ëoÌ?1·,HÚÍ?øï_x0004_sòË? 5±[&amp;_x001E_Î?òÄ©ÿñäÎ?Y%É[f_x0008_Î?8¿!_x0001_(Í?Zq_x0015_ctÍ?Û&amp;»"õXÍ?l_x001D_ì94±Ë?éXéo,Î?_x0010_÷ÊýDÍ?ö1áÙ_x000C_cÎ?xîB OÇÎ?JþË9qoÍ?*£_x0004_D*Ï?ë_x0013__x000E_8_x0012_Í?E«_x0001_øm_x0003_Î?Ý_x0004__x0014_Li5Î?VÞ_x0012_¦Í?Ù_x0008__x0003_z:Ì?DÍßx Î?ô/Ã_x0012_I¶Ë?äµï¸_x0007_`Í?_x0018__x0005_½ÄÊsÍ?ãa ·¹_x0005_Ì?_%L½?9Ì?ÞÿH_x0010_
Ì?|iÑJ_x0017__x001B_Î?C³²æï_x0014_Ì?¶WäÑ	Í?_x0003__x0006__x0012_,óäÌ?5K¦_x0007_özÍ?G)ç¶_x0008_ìÌ?B¦ån³çÍ?N_x001E_êsoðÌ?ÿ_Àõ¨Ë?A=øèRÝÍ?H_x0001_ñ_x0004_¹äË?ÂÕ_x0013_ï_x000F_¨Ì?`xà$úaÍ?î_x0002__x0013_Å§Í?×¸Â¥_x0017_aÍ?GÓm_x0002_QÎ?§?R³eÎ?7qJµÑbÌ?½_x001F__x000F_²5qÍ?Sï!¾~Í?N¿¤Z{\Í?¦¼`o!7Í?²AÃ_x0005_æË?_x0014_ÇIxT¿Í?Ú7)¸T·Í?º-o,Í?:Y_x0004_sÍ?8°ÅðuÍ?^2P6Í?)	_x0010_ôÞMÍ?Ñ í¾_x0007_Î?û_x000E_$×²_x001F_Ë?z¨_x0008_ÀGóÊ?zàó¸|Í?Ì§{V_x0002__x0003__x0003__x0010_Ì?ñ:_x001F_¿Ì?",Ä7Ì?cXO¨åhÎ?k]Hyc¾Í?L¶xdoÎ?_x000E_Pxü´Í?Ù%ÂzéÍ?àµcQÎ?ÑÉîzC9Í?näæ_x000E_¼¿Í?îiB-}ZÎ?¹5_x0007_§A Í?_x0016_ú_x0017_ó6ÓÍ?_x0012_ü¶üDûÍ?%I&gt;E1Í?µ]_x001A_kÍÌ?_x0003_6ðéiÌ?tôíæ&gt;Í?è_x0001_åCuÍ?à±ýês~Ë? BµE1_x0004_Î?
2_x0002_vÍ_x001B_Î?Ø_x001D_¢1÷Ì?È_ªÓ¢Ë?6_x0003_l,¥Í?¬_x0008_Úª±Í?Á8'bÌ?ü÷¡©øÌ?wFÝKª_x000F_Ì?)ºFYéË?ª_x0003__x0004_o^ÌÍ?_x0001__x0003_YÆ_x0016_è7Ì?SW©-Í?¦¨Â»Ì?Ô,%&lt;ìÌ?Ö_x000C_xèÍ?%&lt;ÔµrÎ?_x0016_ô=_x0003_+ÊÌ?ð_x0011_¥´NWÌ?Æ_x0011_phÍ?Í=¦_x000F__x001C_ÙÌ?{í('Ö_x0008_Î?_x000F_Y|¥wÌ?_x0008__x0012_c_x001C_¬9Î?æ± _x0002_-Í?)e"_x001D__x001C_Ï?ÂÒY¦3Í?&gt;O4?#ÎÍ?Lù¡}_x0014_ÖÌ?äâÈ4pwÍ?N7-_x001D_Í?"âÛ2¡zË?êñþ6¾¢Í?ªßì_x000C__x001C__x001A_Î?_x0006_gçºAÍ?¢_x0011_!ô^âÎ?Ç+¸Í?Ú_x0014_l _x001A_Î?[S!ïgÌ?ê_x0015_s_x0012_ÐË?ñb+|Í?È(s¥ Î?&gt;._x0017_v_x0002__x0003_«_x000F_Ï?~_x0019_j EÍ?_x0010_´.u¯ÿÍ?Ë_x0013_®_x0003_´Ì?j°5ÌÌ?_x0005_N_x0006_ËÓÎ?&gt;eÄså_x0008_Í?dæ/3EÎ?1ôÅÌ?ñÑÜøþÍ?kÏ$Ü`Î?gëÛ×Î?Ö_x0001_v´°^Î?w_x0012_!¨­cÍ?_x0018_Ü_x0007__x0019_Ì?PÌ¬ß¯¼Í?ÁÌ_x000F_·¶Í?ÒÿHÃ¤Í?Æ_x0006_áo\_Ì?IllO0Í?ÑRìGMÍ?KJN°ÉË? NÚüjÍ?	_x0014_Ê¢UÎ?p×_x0015_7-Î?wÑ3_x001B_JÍ?åh«æ­ïÌ?_x0016__x001C_®7v^Ì?Û%:kTÌ?;_x001F_b»Q2Ì?]_x0011_VÐ_x000F_¼Ë?1=(_x0013__x0012_Î?_x0001__x0002_Ç[_x000C_Í?L_x0015_j_x0004_¤#Ï?Ì\Ì©üË?_x001A_È%SÃíÍ?"x¿j÷Í?ÖZî_x001D__x0011_\Î?_x000F_ÿr*_x001F_Î?_x0001_&gt;á0{ÂË?\¼â_x0005_ºZÎ?&gt;*{]ßÍ?ÃyçB6Í?Í_x0005_67_x001C_|Í?dÌèâÍ?_x001E_½îjÍ?&amp;·BÂïÍ?£¯ÅiÇÍ?_x0006_RVÚÂÍ?õ¼§·úË?b_x0008__x0003_ñk±Ì?S*xvÍ?_x0001__x0013_[)wÚÍ?y_x001A_B¦5ÀË?û}mÑïË?dyq_x000E_Î? _x0014_Á_x0003__x0004_Í?dÑ°èüeÍ?_x0006__x0012_óbÍ?ðÏkÎ?¼Ôô\×7Î?¦ªÍÒIuÎ?£b8ß(òÌ?6ÂCñ_x0003__x0004_$_Î?Y_x0002_}Í?Q_x000B_[_x001F_dIÎ?NçG'¢Ì?_x0016_ø¤jÔ¸Í?¡ÐäE¨ÕÌ?_x0003_V¤)úÍ?v¡_x000F_f;Î?£ðüÊÐôÍ?^`¾M_x0014_Î?_x0016_½âQâdÍ?Aº?`ã_x0004_Ï?~Ûþ§Í?(Ú'Ì?3kp_x0015_l&gt;Í?Õ_x000C_tªö.Í?_x001B_EÀg¦HÌ?3ªj¦­òÍ?V¤c7ïÌ?pÆ_x000B_Z¤Î?¤)·lË?Wµ_x000B_eÿýÍ?ùÁP,Ì?_x0006_X¤_x0005_ä_x0012_Ì?ªÐs@Í?·_x0017_ê²è8Î?&gt;_x0015_"_x0008_[Í?	áD#©Ì?ãÔ_x0005_à_x001F_Î?#_x0001_À=¦øÎ?_x001B__x0004_8`¡Í?:´e_x0019_SÍ?_x0005__x0008_j¯I!D*Í?ñõw¶ûJÍ?¶©_x0013__x0014_-Î?`ýÖõ_x000E_ãÎ?Ñ¶íÒ½Ì?/_x0011_u+Í?Í(½"%Í?uLúF{+Ì?n?t*ûÌ?Ð~°¨'_x0003_Î?º&lt;_x0004_T'Í?5_x0008_F_x0007_Ë?_x000E_Eä¼_x0002_Î?_x001B__x0005_~,³{Í?¢¥QãFXÍ?P%zC_x000E_%Î?£RüU®Í?_x0018_ñQªBÍ?Ôp(J«Í?¨_x0013_¼$_x0001_Í?2r8­_x0018_ÐÍ?»^7pdÍ?_x001F_ãB Ï?ë­á_x001F_?ÍË?d#Q,jzÌ?x_x000C_3e,Í?_x0010__x0006_@
_x0013_Ì?i6¯Ð®Í?¨Ë¿%FÎ?¦ÖµëÍ?))_x0004_sÎ?ô,y:_x0001__x0002_f_x000B_Í?P#ó_Î?_x001F_äuCË?4¸ûLÚÝÌ?]kìÑ¡Í?ñ{ª¤Ç1Í?&gt;ãª_x001B_ùÍ?\_x0017_nßÌ?R¦dÒÎ?m53_x0010_TË?4£NÐm¥Ì?UëMó7Í?o QÌ_x0019_-Í?EÁ¼o:Í?û¡_x0001_¯8JË?ß_x0012_(.èË?_x0003__x0018__x0006_SÎ?ô_x001D_âJo_x0013_Í?[ íÔñ,Ì?_x0010_EÂgÝOÎ?_x000B_¡hï1æÌ?%ÊõÎ?Õ¿Ð@ÙºÍ?«Rh³ÓÍ?:_x0019_ãÍ?·ef± _x0017_Í?úTñ'_x0008_Ì?Àc(®øÍ?õ&amp;yñÍ?ÞÏÅ9µÌ?_x0005_
-_x0006_ÅPÍ?õ¿Ü5éÞÌ?</t>
  </si>
  <si>
    <t>9447bc2c894021157ecdc7e747f9b9ea_x0004__x0006_öÚ_x000C_&lt;YÎ?·_x0004_ôíÎ?^c;;_x0014_Î?(\Xo*¦Ì?jF/zÎ?C­üìaË?íÅ/L1§Í?gr_x0011_³MÌ?Ï«_x0001_yiÌ?:_x0017__ÌÎ??ù_x0002_Í?¼$ +9_x0002_Ì?-;&gt;_x0018_z_x0001_Ï?Ê_x000F_pzTÍÍ?e_x0004__x001E_&amp;¥ÉÍ?_x0002_ñ¯
ÞÎ?Åëÿî§¦Í?¿ÓÅ(_x0010__x0007_Î?RËâÊE[Ì?ÒÆ ùÙÕË?ª©ã¤_x0016_Ï?h¶_x001F_¶JÌ?+ÈnÎrÍ?î_x0003_(_x001B_ _x0005_Ì?Ï_x001F_ò|è°Ì?ä¶_x001B_&gt;ì?Í?ÉoJ|h®Í?Þ=#ÂäÍ?øå9ÛúË?»_x001E_Â
7Ë?_x0001_o¥5Ì?_x001C_­Õ³_x0005__x0008_ªÍ?{ºÃJV¯Ì?|Â+.Î?_x0018_©ÊÞë¹Í?H¸	ì4_x0001_Î?_x000F_ä_x0002_[Ë?x8i¨H}Í?Î_x0016_$_x001A_ÔÍ?ôÕæÏ³Í?d%Ç|ÕÎ?+]Ç_x0004_÷Í?Hå¿W_x0005__x0007_Í?Å±T_x001F_:OÍ? Ð`çZ_x001C_Í?Æê¤^Í?\nÔ{ôéÎ?;,¹aÌ?5w_x0002_z]iÍ?¬\cô¢Í?§°D¹ÎÊÌ?yu,Ä+óË?·`Ln]Í?_x001D_ÖHÊRÎ?sZ?5Î?èÿ¸_x0011_KØÌ?ela ÅÌ?_x001A_LmÍ?_x0003_SíÏNÒÌ?_x0006_ÄÕ	_x000C_ÙÎ?20_x001E_(_x0007_bÎ?¬é}YíÎ?@_x001E__x0012_AW2Í?_x0001__x0004__x001E__x0018__x0012_Ï?^_x0002_â-_x001A_8Í?£ÌjÌ? ¿{q×Í?'T§·IÌ?¯_x0011_+QÌ?ùÒ_´Î?¬ïP¦ _x000B_Ì?°ÀÑ·pÎ?ÿWöÿ°kÎ?Q_x0017_¦[õÌ?Ãâ~ÝNÍ?_x0014_¢ºÇjÎ?_x001D_þ5ßåÍ?ú2)_x0004_Î?a8l$þ_x0003_Ï?@Ü_x001A_#m­Î?_x001C_rwgÂÍ?»u_x0006_?Ì?½¡J¶]Î?è~_x0007__x000B_¾UÌ?éT´\ÏÉÍ?,B.dÌ?fÉáÈO&amp;Í?qºÛ°_x0010_æÌ?_x001A_êLÔ&gt;Ì?Áy)UìVË?¼L_x0012__x0003_@_x000E_Ï?pESJ^{Î?6«_x000F_¾UÄÎ?à_x0013_½2i:Î?p_x001B_ËP_x0003__x0004__ÁÍ?±_x0001__x000C_:ÉÌ?¼È_x001F_eËÍ?/_x0004_Ì&amp;Ë?_x001D__x001C_Ó_[FÍ?±_x0001_üj­Ì?_x0018_ï¼ëÏË?ÙÂPïÎ?_x001F_RsE×Ì?_x0002_ô_x001B_¯_x0011_Ì?]ö_x001D_y&lt;Ì?z_x0002_%¨#§Î?eYà_x001C_X©Ì?MVì-¯Ë?	T+*aQÍ?ò¥F_x000E_MÎ?ì_x0011_ýnDÍ?wæ#¾Y Í?"{A¡åúÎ?_x0014_n=´Í?)PÑéÌ?_x001C_ç_x0011__x0007_¬ÏÌ?¥Í¤9ÈÅÌ?_x001D_\y_x0014_ÑÍ?KJ_x0019_Ì?_x0002_ÈTc_x0003__x0011_Í?ô¿ê­®fÍ?VµßÐZ«Ì?B]ß_x000C_Ì?Ô-¼ÝZË?_x001B_õkÉf=Î?í2g·£Ì?_x0001__x0004_DrE_x0011_Í?B"!R¶ÉÎ?8AÍlÎ?·Z60ÔqÎ?_x001D_×V&lt;$"Ì?ö_x0003__x0011_AÎ?ÁAì¨Î?_x001E_ÂC$_x0012_Î?d_x0018_;_x0016_Í?YlÃ/ñ_x0013_Í?#F­&amp;Î? Ù¤@Ú/Ì?h,W$XÎ?ÆÇT4_x000C_ôÍ?äzþw`ÃÎ?;M÷kàÌ?´_x0002_ÀK·ùÍ?Á_x0016_ÏLe°Í?¹CpED¿Î?PgxÌ?5©!ÏSÍ?PÛ3N%®Ì?_x001D_GL&amp;Ì?¸=píÇÆÎ?&amp;È_x0011_ÄÎÍ?_x000C_·lÝõrÌ?c_x0011_hcRÍ?Ð34 ÈñÎ?ì_x001D_ò»¨Í?Ä_x001D_]÷¨Î?&lt;*(_x0018_íÙÍ?Õ_L_x0001__x0002_=ºÍ?Ë2Q*
pÍ?)ÝhðÍ?Ä;_x001A_öÐË?¸)@=ÁtË?_x0011_æ~J[°Î?æ²ñJ}Î?wýÈq÷Í?þÂ×a_x0002_ÄË?@IÜ_x0013_eªÌ?½J¦âá_x000F_Î?v::ÆÍ?{"ÛD_x001E_Ì?¶èU(_x001D_Î?t²u"3Î?_x0005_¬V{Î?
ÝFþÌ?_x0007_R@_x000F_FLÍ?¡¦-¼Í?¤_x0004_z5"!Ì?CÓýço_x0010_Í?_x001A_ã¾¥LmÎ? ù[v^Í?_Î_x001C_áT7Î?_x001B_ìëí!Î?Å§Ð5!Í?çfök§Ì?É_x0017_è_x0019_ÅçÌ?NÏ=ÒöË?¤»ê¥_x0010_Ë?;|º$_x0018_6Î?&amp;)éÁÂÎ?_x0004__x0006_j[_x0010__x0003__x0006_Í?t¯R*ÄÍ?a¹Õ_x0019_ÛÍ?_x0008__x000F_¼mËÎ?_x0018_{wÉýwÍ?D_x000C__x0007__x001D_Ì?Ïôqv_x0011_Î?_x0003_C¡'íxÍ?ï
¤?Î?Ãg_x001F_Â_x001A_êÍ?dFr_x000F_Î?_x0008__x0008__x0002_ÎtÛÌ?O]©t²ZÍ?ß¦£ïæõË?Ô]¯{_x001E_Ì?´üsWÍ?LÛ¡báþÍ?¹kêcË?û½á¦©_x001C_Î?º2ü_x0005_h_x0019_Î?'©­íqÌ?Å£ÞH(Î?_x0008_Á_x0017_$Ì?ë3½@¼Ì?þ×:RLÎ?È_x0018_¿&gt;Ì?0_x0008_íz^µÍ?à_x0002_5&lt;WÍ?!Ú¬EÙÌ?SC¯é:Ë?vËã_x0001_ç_x0001_Í?=P_x001B_á_x0001__x0004_zúÌ?_x001F_ÌWâª2Î?Á±_x000E_,»ÑÎ?¤	æ_x0001_]_x0016_Î?w]×_x0008_þvË?Ç©¬ÙtÇÌ?wî`¬(Í?p_x0002_üøªË?j_x000C_èPF2Î?a
kÚ_x001B_Í?4Gÿ_x0015_61Ë?0¥þ¹ Í?Øí3}ÉÇÌ?;9ÌùìÌ?!_x0006_rSÍ?_x001C_6{KëÍ?âhçÑÍ?6iU_x0003_zÎ?'æ0êÎ?_x0006__x0006_ô7;Î?DFàkÂÃÍ?[_x0007_ÜL;Î?á©(DigÍ?4._x0003_N¡Í?f!Ù&amp;_x0018_üÌ??Ë_x0004_qÍ?}hw_x0019_Ì?ìÄß_x001A_èÍ?Épef¬Í?H çGtÍ?SF+ï¤Í?õs_x0007_A©Í?_x0003__x0006_ßÜ|_x0013_HÎ?¯f_x0013_©*ÞË?Ø_x0004__x0012_Ý_x0002_Í?VÔà,{Í??KâýË?ä·_x0013__x0005_²÷Í?Ðä-DÎ?Æ°__x0001_ìüÌ?úÁ_x000E_'ñÌ?|n0éíÍ?`Õ
¸_x000E_Í?lÓ¼íN@Ì?à8jú×Í?dHaÛ_x001A_Á?í±ØÔA@Â?ºerðw_x001D_Á?PoÆñË_Â?Ñc	*&amp;Â?ÜL«4Â?oã$GÙÅÁ?Ó_x0006__x0001_¹_x0016_Â?4_x000F_ÉÀ_ÙÀ?28_HÆÍÁ?Aÿ_x0001_Ñ%²À?9¹òsO~Á?_x0001_T%ÉÂ?[ZÏõæúÀ?Î7ýkÁ?_x0019_DïáF*Â? üõôlÀ?r¤¡ºÿÁ?_x0004__x0014_Ú_x001E__x0001__x0003_à¢À?Æ¹_x0001_¸tÁ?ý«x`¸À?¸2]¯SÂ?ö'nÏ4Á?_x0002_NêÕ|_x0005_Á?á_x0017__x0011__x001D_ÇÀ?hWÙîÁ?]ãfé1´Á?/_x001B_ºÉ¯°Á?¿_x0005_hdFÁ?·_x001C_«ò_x0017_jÀ?Ópµ_x0013_úÁ?,ròüQ_x0012_Â?_x0012_Ò_x0012_ÈÌ×À?N¤$ìpPÂ?SIí+Á?éåeûEýÀ?lé_x0013_2/Â?t_x0007_ôzÁ?ÛrÎ'ò_x0014_À?O9©+9Á?(LÖ(2Â?B±=ÒÀ?Öb_x0007_ÍÀ?þÍ_x0018__x0004_¦Á?Ú®)Ô¿Á?ö¹$¤°8Â?°Ø×Î_x000E_Â?+rÿ	__x001B_Â?:_x0011_{¾Á?ëù
º!!Â?_x0001__x000B_F©3]Á?¡êQ!_x0004_ÇÁ?ªj_x001D_Ô·.Á?b³y7_x0002_+Á?¬9ÁÍ_x0010_Â?&amp;ËâEwzÀ?_x0014_ÜUeã À?Íå\5_x000B_¯Á?jX0-Â?_x0018_;5¶`Á?ZU²_x0008_PîÁ?÷þ¾_x000F_N¥Á?Hn_x001F_· À?üâ+ÉÂ?øÌ¤ÐÌæÀ?B_x000B__x000E__x0012__x0003__x001A_Á?³¿_x0012_Â?Êe10ÅÁ?B2Âg!dÁ?;oÒ_x000E_'ó¿?wK´ïû Á?ãð_x000B_ºãÁ?'Ö¨GÁ?í¤%`_x0006_(Â?_x0018__x001B_ùÈGÂ?ÑZë_x0007_øÇÀ?ÒèguºÀ? ÌdÄ_x0016_åÁ?	&gt;$¯ðýÁ?I_x001A_Mhb®Á?Ð¯Hp_x0005_%Â?ö_x001C_ö_x0002__x0006_1ýÁ?"d±áÀ?7_x000E_TÿèÀ?Ã #æJÁ?3KP_x000E_WÂ?Ý_x0016_yÚ_x0016_À?3/ÒøÀ?ØbP?ìÁ?vÄq*_x0014_Â?_x001A_ÚWàWÁ?=tÿnÀ?15_x0010_PÁ?_x0019__x0010__x0004_í*Â?½jÄÅ?þÁ?t2Þ¦âÀ?é_x0006__MÍ_x0004_Â?päl®¼_x0012_À?_x001D__x0003_VP¿?÷ò«Íx_x0011_Á?©2@RûÁ?_x0002_öëÈ&gt;_x001E_Á?_ÕTÂ?_x0001__x0005__x000F_ä_x001A_SÁ?E-ÆvÐ_x000F_Â?&lt;ä_x0018__x0016_Á?M­õJïÁ?Új~ÛÂ?ºFüs_x001F_Â?÷.? 4ØÁ?l¬_x0006_E©YÂ?U_x001F_(¯;MÂ?!ýG^_x0003_Â?_x0001__x0002_£ÕÆnÁ?&amp;_x000B__x0001__x0015_Á?I2á_x001D_Â?*cáÙÉÁ?]DZÆ'Á?ñCÞâj_x000F_Â?wÇ×X¤-Á?^Ó,U]ÓÁ?!ÓÊ·¾À?ö1_x0006_FÂ?Ç1a®Â?.2é 0Á?·	)vÀ?2_ _x0005_vÁ?_x001C_Shê_x0008_øÁ?_x0007_jî_x0008_Þ¿?Z?Þ_x0002_sÔÁ?Ò_x0004_NéÁ?ÁUpd&lt;Â?±Xj¸Á?§_x0012_zý©iÀ?£è!ì2¹À?Ï×{óÁ?P'Â_x0015_¤Á?,ò^®%Ç¿?9_x001E_ éÖXÂ?øðøÆ
îÀ? I0_x001F_ÅåÁ?×çmFÁ?_x0016_Þ¹¥ó&amp;Â?û;ò
ßáÁ?´t_x0008__x0005__x0008__x001D_Á?~õçÅÀ?ÓÜ,+W_x0002_Â?6_x0001_ ní_x0012_Â?_x001F_Ý,½/Á?µÄ_x0013_ÍjÁ?ÓÜú¿À?._x0006_ªs	Â?y_x0004_Ù@Á?/¸!@Â??_x001C_ß_x001F_¯yÁ?ûjé_x001E_ÕÁ?Y_x0008_íZ$Á?°Û·Í]Á?	§³¾H$Â?^áÁÚ_x0001_¼À?p@öà.¶Á?®·[ CÁ?o¯mr×Á?«
¸aÁ?Q§®ËêÀ?(OdÁ?(VÂ1°ZÁ?_x0003_-©HÀ?ïYÞKeÂ?G\õRN_x0010_Â?¤¸ÆÜ_x0007_Á?_x0002_£r^_x000B_Â?£ø»VãÀ?fÐûÉgoÂ?l¾õ®[Á?3¨Þ_x0011_tÂ?_x0006__x000B_Å´àWHÁ?_x0011_õ`7Â?DM±È¤Á?_x0019_2Æ×ðÁ?´ _x0013_µóÁ?Àd_&gt;½Â?ÂÆ_x0012_¦_x0004_
Â?¹RÊ
_x0011_Á?á _x0011_¡7_x0001_Â?_x0002_²É2GÂ?¥½Ã^TûÀ?_x001E_Àçê_x001D_\Â?.ÀÔó©_x001E_Â?9¡³Rï¡Á?Ì}._x0012_ÎÁ?,å¶,Â?RC-Å1Â?C$/"!UÀ?_x0007_ÄN_x0017_	À?g_x0019_A!B_x0014_Â?µ5uT_x001A_DÁ?_x0005_oþÖÂ?Ýà?Ï/NÂ?_x0019_Tp_x0002_Á?s÷
_x0008_VEÂ?"4Õ´7Â?ÑP½´·Á?û&amp;ÌI_x0003_ËÀ?(X_x0010__x0014_iÁ?(L)_x0004_Â?I'ö_x000F__x0018_Â?º!Yý_x0001__x0002_,5Á?îkxì´Á?3|3_x000E_ìÀ?£_x000F_q'Ï[Á? ðê¶Á?=µô2À?O_x000E_m¯À?_x0015_ÎÙmYÁ?xH_x001A_pÂ?xlj6_x0017_Á?4Ì(ÞeÁ?w1ùÕÊÁ?±_x0011_mÒ&lt;Â?rh«x4øÀ? K«Ù_x0007_õÀ?o¡­Á?_x0018_ÅãÀØÁ?æÇþ*"_x0018_Â?°fwÝRÀ?¡S©(_x0002_Â?ºÉ´è_x0019_Â?Ý"°_x000B__x0010_4Â?_x0001_Ç@_x0005_ñÀ?_x001B_#_x001F_;_x0001_yÂ?æJEê_x0011_Â?ÁXdÃô_x0008_Â?rç_x000F_;kÀ?Fù·a{gÁ?¦_x0019__x0016_})_Á?ðDNñÂ?öÍ÷á4Â?_x001D_ÀéÐ_x0002_Á?_x0001__x0005__x0018_¤¡WÀ?dÃzr_x0013_Â?=aaÕ1Â?ùÂÈ±Á?Ø_x0016_yÅ_x001B_Â?Vå;Â?j_x0004__x0001_fÁ?©´øí,Â?ÇáS_x0012_Â?}6_x0011_oàÀ?mÂÐf_x0001__x0001_À?ßÛgpëmÂ? ]Êº_x0006_Â?8&gt;+$_x0004_lÂ?ÜÏ°­²Á?_x0002_¦_x000B_éÿ'Á?Wx_x0014_T½Á?pn_x000F_uôÀ?u5_x0013_¿ñ!Â?_x0006__x0003_C°¹À?Âgä`_x0002_Â?x@À%À?)j_x0015_'_x0010_Á?P_x0011_¤0úªÁ?kæßÔ¿+Â?¥~ÕM¹ùÁ?¶JìOÌ_x0014_Á?Û_x0008_[òÁ?Ý¢¨Æc³Á?&lt;ÿZ­:Á?_x000F_O_x001D_*Á?|K9±_x0001__x0002_ñ-Â?_x0001_,.,®vÁ?+~5&lt;cÀ?VVKÛ$Â?b¤f÷«=Â?ÉzW¯ßHÂ?Á¤:ýIïÀ?
Ù`Á?_x000C_sT ¶'À?_x001D_³Ë+g}Â?sH9,7Á?{I&gt;jÏÀ?_x0006_Ì}îª¿?úÈàô_x0005_Â?¶_x001D_zÊ?SÁ?_x0004_&amp;_x0011_ã_x0005_OÀ?[_x0012_!¼µÀ?_x0018__x0013_!MÁ?éC3_x0019_Â?nVTàÞÁ?B_x0007_Z|BuÂ?ëóü&lt;¾3Á?_¾SÄÁ?Ö'ôàª
À? mª÷oùÁ?½¬_x0016_¸_x000B_;Â?¿Ïô]æþÁ?¸)OÁ._x0007_Â?&amp;xrØGýÁ?ÁÛ_x0007_n_x0005_ùÁ?_x0005_7eMÀ?ÔoQ_x0008__x000C_ÚÁ?_x0001__x0007__x0006_^7_x001A_Á?_x0004_Ä¾¶t_x0006_À?8ù\ü7Â?¡¼Ánÿ¯Á? Æ¬_x0012_ÕâÁ?èbÑýÀ?D_x0002__x0008_íÔçÀ?1"ö_x000E_1Â?ðÖyìÔFÀ?ÀØ2·æiÂ?Ë°Z-ÍrÂ?ô(B[_x0017_Â?{j_x000B__x0003_rþÀ?Å_ìÁ?Ó7_x0011_Î\ÇÁ?&lt;E@ºØ_x0002_À?º{v^:Â?_x000B_G]G_x0011__x0005_Á?_x0016_ìÄÈ
Á?È_x000E_oºÁ?Ì _x0001_ØÁ?¤T*¸:oÁ?_x0008_	p+@?Á?_x0010_\áõðÁ?QL¤&gt; Â?
_x0018_ãD6Â?_x0017_1£CÅÀ?Ç1ßúÐÁ?mb$_x0018_*Â?Í!Ë_x0012_2_x0004_Â?FnCfaÂ?xÿÈ_x0001__x0002_/ªÁ?7|ygÁ?±}öFµÀ?Réií_x0010_ñÁ?B&lt;@4¯{À?cÆB½­ÆÁ?ôCsjÁ?_x0008_8²Æ _x000F_Â?³!Ç¨6tÁ?W2ªÁ?z 6¸Á?_x0017_Íø4?À?{aìÁ?ßÆ~´_x0011_À?HDíðÐÁ?/_x0011_ÊèÀ?Â_i+`
Á?½\ý_x0012__x0015_]Â?¹nu¨\_x000E_Â?¦È\Ú8áÁ?|A{µ£mÁ?ñ9_x0002_Á?ÃM÷ÿ@ªÀ?¾·&amp;
¤_x0003_Â?øôncÁ?4_Ð&lt;ÁÀ?Ú_x0014_W_x000E_TÂ?ÉvÙqÁ?ÙJé·:xÁ?\õÀ½LÁ?°ÕPBÉìÁ?#··WëÀ?_x0004__x0006_aç¦_x0012_Á?sýá|ËÁ?_x0018_5²jEÁ?Drzúû*À?\	UcÐÁ?ËDX_x0019_ðÁ?Ê_x000B_^IJÒÁ?,­ô_x0001_ÿMÁ?i6_x0005_¤`À?_x0015__x0019_&lt;_x001A_È_x0015_Á?J_x0004__x0013_êÀ?°ÆËø¿?ÇÔk^Á?êoæ(K{Á?ØÕ_x001B_OiÂ?âöúÎ_x001A_Â?_x001F_0å©Â?ÓÀ`RtOÂ?J]"]³#Á?;¢¥JmÂ?µ_x0007_3²¤Á?ä_Ë[%Á?DmÃ3äÁ?q._x0002_æ_x0007_Â?ÔIÉ¹Á?aê¾(hÂ?ù\_x0016__x0016_Í¨À?KÈ=ýçOÂ?+»/áÒÁ? -ÇÁ¬{Á?ÜT0_x0003_DÂ?BÊ_x0008_§_x0003__x0004_À?¹ã¦§ÜÁ?xé_x001D__x001B_£Á?á¶ÑÖüÁ?,µQIÁ?_x0016_äçÁ? f_x0017_pç8À?â²_x0002__x0011_«À?D5_x001B_à&lt;½À?6_x001E_(!;Á?·9M@­&gt;Á?_x0008_òâëáNÂ?6VÞ¢Á?'×_x0019_ù9Â?koÉ2óûÀ?_x000C_q+°ù4À?+_x0011__x0018_éøÎÀ?SØ¹7$Â?¬ ïã5Â?_x0002_¤ÈDùUÂ?g¿Í»_x001B_=Â?ùD!yðÂ?CÞFÓ÷Á?õïbñ|KÂ?ÒÅÎö©ÃÀ?nóÁ$_x000E_{Â?S°_x001F__x001A_NXÂ?Fþç_x001A_}ÏÁ?ÜáÍ§t|Â?¬[_x0017_CbÂ?Po~9áÁ?_x0001_¤Ú¦Ê)À?_x0001__x0005_¤´_x0017__x001B_JÂ?\ÐD_x001E_ì_x000C_Á?Äëàdñ_x0007_Á?tïá¥'ðÀ?c»/æï_x0018_Á?ð#¹ØïÁ?9;_x0005_½lÀ?ý¼ AÂ?PX9Î_x0003_ÁÁ?Ò_x0002__x0012_lÕ¿?&gt;ÑàG°CÂ?÷2T®ÝbÂ?d+è8àÁ?ßÂà0NÀ?ñ­Ê÷_x001B_*Á?D¿¥Iï=À?"&lt;ñ6oÈÀ?_x001D_IÃvñÁ?p=Q_x0012_WÂ?4siÀéÁ?Ù×¼ò\yÁ?_x0007_*èIÀ?ø;ççÁ?G_x0004_»ÉÀ?O³ìª§ Á?e·`ïwÂ?cÅ¿k&gt;À?¸QMþÇ|Á?Kâ¹_x000B_dôÁ?*û/ }Á?_x0011_ùr_x0019_­dÁ?¶í_x0003__x0004_ûnÁ?ßétæ½Á?]Cº2Â?¦_x0010_¥8Á?w@j!À?2í:_x001A_1Á?ø!l&amp;yÂ?¦ =éÝÁ?õ\àùrÁ?]åAÑöÁ?_x001D_HY¬5Â?_x0002_iõU¿ðÀ?_x000C_¥d£_x0018_QÂ?°Þ_x0005_´äåÀ?Ü&amp;_x0008_$3#Â?	Î¨iÕÁ?Âì$å_x0005_¨À?éÜë_x000F_æ	Á?H_x000C_ömëÁ?-Ý¼ÆläÀ?Üÿr_x0002_HMÀ?SaipÁ?1Ú_x000B_Q9Â?~C{üiÁ?¡0_x0006_ÆÎêÁ?ø1\4¯×Á?Vw_x001A_(.ÕÁ?Ý_x0016_yþ_x0002_¨Á?®PÑÚâÄÁ?1_x0018_Ï)­Á?d£SlAÀ?æß··_x0001_ÃÁ?_x0001__x0002_¼esæ¡eÂ?K#_x000B_Á?«_x001A_ü&amp;ô¹Á?R²Î_x001F_Â?è¼_x001E_­ÂþÁ?ÀéRjüDÁ?fOH ê¿?yÍü_x0002_Á?.eP»ì°Á?d _x000E_þ±Á?À{_x001D_øÁ?øëå QÂ?u¢èþ¡XÁ?èH[vÕÀ?ÍhµcsõÀ?Ê1_x000C_Z°àÁ?R^ZgßÁ?_x0007_d6þH_x0016_Â?/m¹°'Â?_x0019_cÎKÁ?ÆP#ÀPèÀ?H,l¸åÀ?_x001B_'ß99_x001D_Â?_x000C_¾×_x0012_Á?U4Õ¤Ï¤À?&gt;E~ÚBLÁ?á¾]-ÏöÁ?÷Ì_x0001__x001C_pòÁ?|8_x0012_¸uÁ?¶t¹$ÏÁ?_x000B_b_x0019__x000E_-À?QÍCi_x0001__x0002_#ÐÀ?}_x0005__x0016_8nÁ?ì_x0005_VÈ»À?\a,­«À?[è51QÁ?_x0010_[È®ÿ_x0003_Á?²+@_x0011_¨Á?Z B_x0014_Û"Â?_x001A_ÏÒ©²¢Á?GÙÂ&lt;ÀÁ?õ÷I0	Â?(ø_x000B_meÀ?vYÍQÁ?ó¬_x0016_8IÂ?ÏâÀ îXÀ?8Er #Â?¶_x000C_F®i_x0008_Â?Éç¸ÔAÀ?ßäô?îìÀ?u@þ_x000F__x0015_$À?&lt;Õàw«Á?BIóuÛÀ?ô¼_x0001_J#}Á?ÑV_x0006_m_x001C__x0013_Â?6¢_x0006_´_x0016_FÂ?P:·á¦Á?7Édq_x0007_µ¿?`_x0007_\_x000C_~pÀ?óg&gt;çQÁ?@úùA9ÞÁ?ákYÌ_x0019_ÒÁ?v¾?|igÂ?_x0001__x0004__x0012_ðiRãÌÀ?LX_x001A_a_x001B_TÁ?°_x001C_ï²À?§_x0005_íÙ Â?´_x001B_~\ÑÀ?_x000B_¥N2B_x0019_Â?!ÿÖtÀ?f½Ws_x0011_Â?ÂwV_ÌÁ?*DûO@Á?»Öò+T§Á?V-ÕgáÀ?-t_x0007__x0017_üqÀ?3ihºóÀ?TÉ2U_x0015_Â?T ý_x0007_i_x000B_Â?óFÏKÂ?_x0018_çíJ#)Á?_x0011__x000F_ÅGÁ?ã_x0003_nèu_x001C_Á?kã_x0017_Á?_x0010_0mÁ?_x000F_çæh&gt;_x0010_À?­§ERÂ?üUÉeãÁ?Ö_x0003_V[UÁ?LS_x0011_*9Á?»}WçÔ;Á?_x0016_ÇÄ³îÁ?ç]_x000E_áñÀ?_x0014_ÇxØòá¿?½³*_x0002__x0003__x0005_6JÁ?ÿÔ_x001A_ÌH_x000F_Á?g&gt;ì_x0014_ÂÁ?(_x001E_¬ËÀsÂ?Ãý&lt;K_x0005_Â?yÚ_x0002__x0005_GÌÁ?_x0015_)
çZmÁ?¹bÇ_x0006_Á?_x0001_´4ÔßXÁ?à Ö_x0010_;ÿÁ?ôöeÿcÚÀ?çCnZJÂ?·´_x0008_fDÂ?¶£;Â?0òÉbOÁ?âí_x0013__x0004_g(Â?u#©EÂ?_x0012_ÀÉ¹ë_x0005_Â?æÖï_x000F_0Â?_x001C_¨glÁ?&amp;ü8_x001A__x0004_Á?_x0001__x0008_ÌA°À?jëxV Á?_x0008_IzB)Â?º¤ÌÖÁ?kôP_x0004_´ÜÀ?½±q_x001D_UqÁ?B´émâÁ?_x0017_Ï½¨ÏgÁ?_x001B_\TzÔ_x0003_Â?××ÈÎOsÁ?·JÊ¡fUÂ?_x0001__x0004_Ê×;ÍÈÁ?j³½nïxÀ?åÒxX(Á?ØÂnKa;À?*®ÂÐ7_x0018_Á?ñªub_x0004_ûÁ?Áº0ÛÎ2Á?Öú_ç¸hÁ?c_x0018_«GTßÁ?À×'÷eÀ?®Þ_x001E__x0014_Á?_ T_x0013_rÁ?\S¿£hÁ?_x001D_rãXÁ?HÀò°ª_x000E_Á?æi_x0007_Á?:Ï_x0019_DgÂ?_x0007_g=&lt;Õ_x0002_Â?ö½RW2_x0001_Â?=¹^Á?qäåØBaÁ?.sjüyÝÀ?ó*ZIôëÁ?,·¥n&gt;Â?_x0005__x0002_^_x001E_åÀ?ôñ¹_x000E_ÿÀ?q;,â$Á?ù_x0003_ÙNÁ?n)F}_x0018_Â?_x000F_À÷²ÎÂ?dîíõ#×Á?Dç×¸_x0004__x0007__x0008_ÌÀ?²Ì_x001C_¸y/À?ì_x0007_Ê`_x0001_Á?ZfÁ?;å_x0017_¢/Á?5_x001C_¦YrÁ?¦"_x000B_z)RÁ?1_x0014_±&amp;ØÀ?%_x0007_YàZ_x001C_Â?â_x000B_Æ Ó¡Á?Mq_x0016_J!ÙÁ?oQpÆÉBÁ?	
_x0003_uÁ?Å&gt;ûceêÁ?Kþ¢*NìÀ?KfH¶3Â?µ_x000B_Ö[ÍÁ?_x000F__x0005_%Â¼lÁ?_x0013_³jÇxLÂ?©ç_x001F__x0005_7Á?XÀ¥SÞ/Â?f~ÜBkÂ?æç_x001A_?Â?"GáàÐÔÀ?1ø¶F¦À?¸F._x0006__x0002_À?Öè_x0007__x0006_'¼Á?&gt;càoæ_x0015_Â?â­sëÎvÀ?áôìõ_x0017_Á?_x0004_°1;j_x001A_À?52_x000B_çâ\Á?_x0003__x0004_gçk£q´À?7
&lt;à«Á?ý_x0015_Íïº6Â?_x001E_î7gÏÀ? ]åÁ?T*Á û×Á?=ý_x0008_Ê_x0014_Â?ï$DsP'Â?G:_x0010_Â?_x0002_ÜÞ_x0005_ØÁ?@=.¤_x000C_Â?)ÔbÉÁ?ÛÈáSºÚÁ?niuÝNeÁ?¬)ÀÙ_Á?=Î¹À?_x0019_ÍJ*_x001E_Â?P%Õ"Ô¬Á?ÿTDT_x0012_Á?Æ=SzÀZÂ?7_x001E_I±À?ZÆãz]À?.²qÞVÉÁ?V__x0003_nÝÁ?0.3`¼AÁ?$_x0003_1µÁ?_x0018__x000C_wPÊÁ?ï._x0006__x0003_Á?û¿QkÀÀ?_x001E_è_x0011_ûC_x0005_Â?Ô¶Ãp/ÜÁ?_x001D_oU_x0001__x0003__x0008__x0005_À?säo_x0003_Â?µ³Þ¾@Á?´d-LàPÀ?}_x001E_S).Â?²ÌÏi÷ÎÁ?µ_x001E_®Â?¤¥Ü}¡Â?à_x0018_2w"ÞÀ?&gt;_x0001_·$®_x0007_Â?çäá_x000F_ÝÁ?*{3_x0010_´ÈÁ?Â[ÉTAwÁ?÷«ìU_x000C_Â?¾ôÍ&lt;ñÁ?å§7dÂ?C·Ü¾_x001E_WÁ?}ò&gt;¯#íÁ?}_x0004_S_x0014__x000C_Â?_x0005__x0015_Ô%©Á?_x0006_'z:ÖÁ?~d.Î6_x001C_Â?Ø²&gt;;ÊÀ?_x000F_+*·x'Á?¬/®_x0008_¨Á?I_x0002_¾[ø_x0001_Á?Ëã_x001B_Á?úWÍòÀ?L$jYíõÁ?_x0002_³ØZDÀ?_x000C_-¹¨SÄÀ?ØÊF:×ÂÀ?_x0001__x0002_®#_x0012_«4|Á?±_x0015_=_x0010_sÁ? ÷¿eÂ?ý¹&gt;_x0003_BÂ?+ß¿ªûÉÁ?&lt;¡ä÷]Â?,¾â°ý_x001E_Â?*ëy2Â_À?M_x001F_¢±*Á?lè/_x0005_¦À?_x001B_²ÖÏúÁ?_x0015_kclÖ[Â?àºø³TfÂ?üA_x0016_6wÁ?öèHSCzÁ?"Y/ó¢À?[;MNò®Á?_x0013_¼¬É¯bÀ?ËaBá_x000F_Á?_x0019_£nÍ|À?_x001E_£Üú¶Á?æ_x000B_*õxMÂ?*êÂ._x001A_ÛÀ?z¢Â[ÀÂÁ?ÿ¦_x0019_^"Á?Vô;öcÁ?Æùá,_x001B_Á?uÄtyÀ?ÛcgÖÀ?µ£°6`Á?¡&amp;L#ÕÁ?oï_x0001__x0002_äÁ?fØ1_x0015__x0012_PÁ?F7FGHÂ?$X/LÙÁ?¸ñr\Á?¨Í_x000C_Ö.8Á?_x000F_É_x0007_Æ)4Á?_x0001_=Î /îÁ?*èm×xÁ?ü¢ÉÑÁ?Çfãÿ_x0003_­À?&lt;CïØ&lt;Á?J9ëÊÀmÀ?ãÉè_x0008_sÀ?Døüè[À?H
õzÂ0Â?Ïîg_x0001_´_x0016_Á?²_x000E_-L)Â?«_x001B_áÞ§ÖÀ?Ã_x0008_S©%Â?È_x0011_«n_x000B_êÁ?w{#nóûÁ?q®ä,Á?_x001F_ xv|ZÂ?ºIìÖ&gt;ëÁ?K?½5©®À?F±åÈÛÁ?J¾ÿ_x0019_ÎÀ?Á¸_x000C_+¹Á?}·\Nz&lt;Á?¾29î?öÁ?ë;:öÝæÁ?_x0003__x0005_õdÐÁ?Ìß_x000E_[n
Â?5ãHFã]Â?yÅJ­À?Y
I¾h`Á?q;/%_x0007_Á?­«taZÁ?ßM?úÁ?h}±njkÁ?VOæ_x0006_õÁ?Èý):	Á?W_x0012_ÚU+FÀ?ªl½¨M·Á?&lt;ä³6aÁ?X¢_x001A_7_x0015_óÁ?NnV_x0004_¬¿Á?_x0012_9[ëäèÁ?$¼|®lTÂ?'ÿW_x0006_Á?«xdu_x0006__x001C_Á?_x001E_QïäBÂ?êl¯ú³_x0002_Á?ýS_x0003_àÁ?7q¢óGÁ?úw³ðÞÀ?Oé;:~À?Ù_x0005_mE]À?»MvbÁ?[0ÔÕÁ?öÕÚñJÂ?Ó_x0014__x001A_À?_x0001_ëÿ_x000C__x0002__x0004_?ÆÀ?|]@&gt;öÀ?µW_x0012_¢GÁ?ÿÙÂº_x0006_Â?(fø¤ÒÀ?I¾ï
Â?ñð_x001E_À?ð _x0004_¾¼ÇÁ?M;ÇÓÁ?¤ßýÊXVÁ?fKÏäVÁ?=_x0017__x0007_½Z_x001A_Â?_x0011_ðS«#Â?;­_x0003_18À?PØß À!Â?£ì_x0002_ÚÿÀ?¤$0_x001D_¦»Á?Æ	cÁÀ?û&lt;ø_x0001_ÎÁ?_x0017_cÁ?þ .6_x000E_÷À?X!/Éô5Á?_x000C_ÈB|º¼À?o,0=æÁ?-Çþ¹¡{Â?ø_x0013_ÒØ½oÂ?@Ä/JÀ?¤_x0007_^ôÁ?_x0005_Jù­FÁ?àê§ý0AÂ?_x001C__x0001_¡ÊÀ?¥_x0019_ô!³=Á?_x0004__x0006_$ñFf¬Á?¼@ï¤_x0013_Á?Ý|£_x0001_Â?(-:_£Á?ºU¹&gt;edÂ?xã_x0019_ÞÏUÁ?o]_x0002_alÂ?:wç_x0006_ðpÁ?le«º_x001C_À?ÿ­Ì_x0016__x0006_.Á?}ay1ÆÁ?b¹T&amp;÷Á?pàÖðxqÂ?__x001B_4åÕßÀ?þ²]~_x0005_¿Á?&gt;¬ï?èÀ?ÉWâþ/Á?_x0010__x0001_i_x0017_u!Â?Û_x0004_R=Á?òø\â(Â?Ï^ò®S_x0011_Á?¥ªöe_x001D_Â?ý¢X_x0007_õ¶À?×§(£tÁ?wýö¼Á?¥MQ_x001F_Á?þ_x0003_Û©_x0010__x0003_Á?Á_x0012_¸n_x0006_®Á?²_x0008_)5ã_x001C_Á?¨i_DÁ?$ñ_x001E_P.ôÁ?È-µ_x0001__x0004_ÑRÂ?X3[íÁ?_x000C_ukeø³Á?çÍïä¯Á?®øäM¦Á?_x0001_`ÜùÁ?¾°ü8Â?z^{(_x0013_òÁ?_x0002_ÉÜýVèÁ?_x0001_Ëñ6SÀ?½x;_x001A_Â?_x0010_"à|£Á?µ&amp;»íÀ?ÇBÎ_x0015_L!Á?_x0003_¶²nLÀ?Ü_x0010__x001E_a_x001B_NÁ?ö¦k&lt; 2Á?k_x0001_Då_x0010_À?%å_x0008_&amp;Â?	_x0018_ !"Â?ü}ÐÜáÓÀ?]ß
-Á?@¼7ÕÌ+Â?Ì¿"Â.Â?fsR_x0004__x0018_4À?¥!_¡cvÂ?~[_x0019__Â?yÚ_x001A_hVÂ?¸_x001E_¨¢_x001A_`Â?qÃÆ_5Á?S	fÕC_x0006_Á?}¼ífÄ_x001C_Â?_x0001__x0003_Ò_x000B_E_x0002_#Á?TTìÞ»âÀ?N½_x0008_ÇuÎÁ?_x0007_`äÕ~ÚÁ?ú0ùÃ`Â?	_x0005_½û[À?WS\¢çÁ?_x0004_~|ó_x000B_Á?ù&gt;_x001B_ÞTÁ?òÿ*_x001B_#qÂ?ï_x0011_&amp;Ã%Á?vèt@+Â?]kjöùÀ?\å_x0003_¶_x0005_Â?_x0012_n_x0008_®SýÀ?fÑÙÊ&amp;ÔÁ?®b_x000C__x000F__x000C_Á?°«yôAÛÁ?Ç$°Âz¼Á?×Cð_x0017_»Á?t_x0002_¬ö0Á?Q_x000F__x0008_ûÌÃÁ?~Ó*úí²Á?_x001C_8.\13Á?0·[·BÂ?ïq_x0016_­IÁ?_x000C_¾ÜYÁ?uÕqòYÀ?þ_x000B_Ð\]¾Á?E_x0012_îóoÁ?_x0012_tèYJÀ?^þp=_x0001__x0002_¡À?Fípl&gt;Á?ãø_x001D_efÁ?W¢{õÁ?x¡üæ_x0015_Â?»_x0006_2À?¢|&amp;{æÁ?q&gt;h= Á?_x0015_Í¦oÂ?µI¹_x0001__x0014_-Á?
ÆÜhÀ?ÊÅç Á?6JÉ##üÁ?Ñ_x0012_{«ä£À?U£²@»ÃÁ?:þÅÑWµÁ?X:½_x0001_ÌÁ?¢ÐJ®d&amp;Á?_x0007_&gt;Â?__x0015_Æ2úÁÁ?_x0002_°iÀö~Á?÷ß_x000C_³LhÀ?¼M?Â?û_x0011_BbÝAÁ?!=Fa¨?Á?&gt;ój.ÐÌÁ?à_x0001_Ì_x0007_Â©Á?êæ_x0018_Q^ùÀ?1ñ@_x0005_$ÁÁ?«Êl_x0012_Á?§ãÔ¤éÀ?i_x001D_Í_x0010_-Â?_x0001__x0002_èl:tbÁ?_x001F_Ã_x0019_mÀ?nhÈ:_x0012_3Â?_x0015_t_x000C_Y0_x001F_Á?_x001E_-L06_x0017_Â? åº[pm:@^fëkM9@^Ê|_x0015_t_x001B_:@ôÖ&gt;&amp;_x000C_8@ÈOAçÓT&gt;@#á¾18@ãllÔé_x000F_&lt;@¯_x0010_; 7@WÌO+®;@³$jDWì&lt;@0*×ý¡1;@_x0006_±T¼
_x000C_&lt;@LOKÜ_x0014_8@À_x0019_¨Þ&lt;@Kb_x0011__x0007_øÆ9@sCs"¹=9@½ja_x001B__x0012_:@_w T:@×q¡M:@_x0003_&lt;ò_x0006_¿8@`×Úf:@Þ_x0001_­ÃÃV9@_x0007_FTM5@}EÇ_x0015_6¸=@wó7Å8@qTõÓ:@´QÎ~_x0001__x0003_@È:@ðð7^¶5@~y¹ùé:@,à	é_x000C_í;@-Êi?ï=@¾TºÔ»;@ü¦
Ôü9@+ê_x001D_a®Á:@¿x'ån
:@«çzØ.8@ò&amp;­-%^=@Ý_x0015_ÂÛ'»:@îãâL_x0005_Á&lt;@B2ÃÑ_x000F_8@oä|_x0011_Æ:@¥ë¼f!Z6@_x0005_¦°¿Dè7@Ø}è_x001D_Øª:@Ü_x0002_­U_x0014_;@_çØ²Y:@.+ôyEÑ9@têc&amp;_x001A_b:@2ºÔ©Ý;@¹â_x0003_wW©7@&gt;¼_x001E__x0006_¼[;@_x0007__x001F_ØK_x0002_&lt;@Í$ÙJ5Ù;@üaØ_x001C_;6=@ñ¶u7@±Ë­lü=@Sz»BaG&lt;@à·&lt;ý:@_x0003__x0005_a$/;@_x0014_®9+ä*:@°ÛÒ_x0015_8@_x0010_£ãÞ!";@_x0018__x0015_Â_x0002_3,:@ðÿµ?];@Êëûñ:@À&amp;cÛ@M;@ºÆ Á&lt;8@ì_x001D_¢;@à9_x0005_|ºó9@Ð#_x0013_ð;@U«¯_x0007__x0013_`9@ãH_x0006_iVq9@úù`¨9@"_x0013_÷ÙÏê&gt;@=
_x000C_¬m&lt;@_x0014_ÎÉ7@rNß_x001D_v&lt;@Ë_x0001_¨÷}&lt;@Ú_x0017_d¢i&lt;@_x0011__x0001_5_x0018_s9@TpÄé&lt;@Ì_x000E_á_x0004_M7@úÓ­2ÿ_x000E_8@­Be¾aª9@&lt;´ûí8@æ½l+c6@õQí_x0010_:@Æ_x0004_ôãIJ&lt;@	²94_x0004_|:@Q7 Ó_x0001__x0002_ØÀ:@(D}_x0017_¢¶&lt;@sÇ§°àL9@ô»Z·9@ïÅð_x0007_Í:@`_x0011_ÿ_x000C_m9@_x0012_&amp;iÞ9@_x000E_Î¨I_x0016_P;@_x000F_¡¹ªNV:@Öú&lt;HU_x001D_&lt;@_x0001__VaÚ9@6_x0005_Åõ»9@WÕçÅ_x001D_:@­ÇÂ«8@º~DI;@¼HÁ_x0016_N_x0019_;@§}§Çÿ9@m¨½Íe8@þ¿_x0004_0T9@
	ü_9@Õ6ä|Ô8@ãITÀ¦¼8@_x001E_3FÊÚA;@Ê8_x0005_ùþ7@¥_x001C_ïz_x0006_:@§×(-_x0015_9@°þÉÌ^`;@\è'	.Ó:@3_x0007_ýZÄ;@ÂYÜO~8@2Ø80@Á8@n¢zGã7@_x0002__x0005_^_x000C_â@7@b9M_f9@%]_x0017__x0002_KÍ:@Ci¤Â
9@bÁí+t;@#@¶Äé¾9@T§_x000F_q§&lt;@üMïêî&lt;@øà([ç/=@ß 3_x001D__x0007_V8@StLZ­å9@þnÌ_x000E_Û8@x÷Ò:_x0001_8@àkw^;Z:@_x001C_ ìËMÓ5@öùO_x0008_µ;@¨°½ø:@»@68ïT:@/.Ù8@_x0016_®_x0004_¹é9@_x0008_¼&gt;_x001A_°á9@_x000C_²ø`Û9@×¡íé:@jÕe_x0015_A=@;3P¿_x001C_&gt;@_x000B_ØÆÐÓA9@V_x0012_¡û¢¤7@_x0003_Þ"_Â=@Z S)µ7@¿Y_x0002_3l=@¹åXÿP
;@Pb¦_x0008__x0002__x0006_~;@Í_x0006_£è_x001E_=@Ï_x0012_1«Õ©9@(_x000C_ñê¢t8@Ð¡S½æK:@TO'Ø58@¼iÔíÍ_x0005_8@z´ëÈÓ9@âõ@[_x0001_Æ;@yGí2£9@É¯Ì`ªc&lt;@vgE'¾&lt;@ØoÅ¦y=@ËÄ{ô®9@_x0004_q/jç8@ª§¾c*À8@4ÝÅã_x001D_9@ulÄ"¾°:@D_x0015_OÚ e;@ÖfIÏ7@ù7vÕÍÚ9@¢=Ö?Þ­&lt;@¹þ¶Á9@_x001C_Ý_x0007_LÙ_x0003_=@Ð_x0012_¥9@r?kéÕ&lt;@ñov¢g;@_x001C_måúp=@OÄùF_x0012__x0002_;@ØÉP¿R9@¶¹F]_x0011_:@_x0002_ß,Jþ8@_x0004__x0005__x000E_Õµí_x000B_;@6r;µ:@åçó{c9@øN9{_x0005_/&lt;@PàFN`:@¿gNc_x001C_Ö8@B&lt;á_x000F_©¦;@_x000E__x0010_-_x0018_äP&lt;@Þ_x001A_68@×ã#rÓí9@_x0003_«mÑù9@ÎìÅñÜ_x000C_9@%*"s18@÷	²hþ:@Ô7J£_x0017_e9@_x000E_QÀ4_x0015_'8@Ý,¼5Ây9@ô¬Ë½Æî7@ûÂ£H&lt;@Â_x000F_zÒM8@_x0011_!¤CX:@_x0002_§9|Aº:@_x0013_Úê-ô:@6_x001A_p-_x0006_R:@Uó\yø:@Í3{ªÎ;@º_x0001_ þ_x0019__x0002_9@âßYU´;@+	v6:¢&lt;@°ÄÎ¨Ô&lt;@¹´_x0015__x0013_7@_x0014_ô6t_x0001__x0002_5_x000C_8@_x0006_wbä¤:@ÌÎ¾D:9@ð_x0015_g_x0007__x0004_9@âàAÅ¦9@Ñ·ÍÝ&lt;@_x0001_[ô	J:@õÍ/9@Äçtz:@\¤&lt;/69@Ú¾ÔöÆ%:@Úw8BÔS&lt;@°ñÓEß9@ày°î;@¦_x0014_{ê!_x0006_&lt;@³ $»:@Ë[z©_x0015_&lt;@jtã~µ&lt;@DU"Ý³7@ß"9_x0012__x0008_§:@_x0016_2HG&amp;x7@ú¼_x001B_Q9@_x0005_Üw_x0013_%:@Q&lt;½ïÓ;@{,ÿ_x001B_q9@|#_x0019_ÓgÉ;@]Á¬oÎ_x0011_;@IO)¯aP;@/Éè½9@ÄÑ³$T²9@{_x0011_wÑ9@_x0014_ëO_x000F_bÌ&lt;@_x0002__x0004_@åk*&lt;;@M_x0014_E*³_x001F_8@#9gpi;@_x0004_x 9@µ² _x000E_°&lt;@j¥)¡= =@¦ÑÄ²a	&gt;@_x0007_·&gt;Á":@v}}ÝÜ;@hù¥_x0008_~Ë9@_x0014_'J\$:@½_x0010__x001E_´´9@ÆàqÃ¹¬:@ ²o	_x0017_²&lt;@_x0011_û_x001A_Ãn&lt;@GN&gt;°;9@ýy.©¯8@}m2#fr;@Ý_x0013__x0006_wWC:@úL¹Ðè9@_x0001_B_x0015_];@_x001E_Ù'¼!å:@ÊxÏ9@8@ù_x001D__Ã49@ê_x0003_íßm_x0007_9@9?#? 9@èX,«_x001D_7@p±%_x0003_ùü6@¢ôÕ]};@_x001D_¹§õ¿!=@¦ßôc,A9@3¢xÊ_x0001__x0003_û:@H²ECî)&lt;@]ãséB;@Rgõ!ÎE9@p_x001A_5Ã8;@*n
_x001D_+8@­Ñ_x000F_3^7@ÓÕ}Ø[&lt;@ÀÁÃþ§:@Ìý±qk;@zíâ§B&lt;@l½&lt;ïñ:@-ÝwxP:@_x0008_®_x0014_:4:@nSí3&lt;@ìë)¸&gt;@%°|FPÜ:@à!gôc=@[C*d5_x0019_9@¹Ç©¼O×9@Kò(9Þà:@ß_x001D__x0015_ñA+9@~Uò¿61;@:³tÿ._x0017_:@o_x0011_¸	.;@1%:@è÷_x0014_ä79@_x001C_ÜG%¹_x0002_:@áC­_õ:@D):_x0019_õ:@)âW7@_x0012_¦o&lt;8@_x0001__x0003_ô@V®_x0019_C&lt;@1âÒ[©&lt;@4fOï@q;@¸)9ü°#;@.i¡Ð[*7@bÃÛgT¾:@Ì÷7-çÛ9@"óz¾ :@_áþ@_x0011_à:@cÏ(qåû9@,áÃ?ù:@_x0014_mY_x0006_f:@Kç\y6Æ7@ËÞÝ_x000E_Ü¯:@&gt;°_x001F_ô_x0015_§6@ªG×Îº6@õáÁ5½:@ô*_x001A_¿_x0001__x0016_7@P'ïm1&amp;&gt;@¥+OÀy;@K{­ò/:@ôJ\û÷\9@_x0005_É{Ô_x0002_$8@ 5:@áI_x000B_Í8@[rYù~:@ª­f²¨7@.$ÑêË}:@¥G~4×7@ÚzÙ^_x0016_=@]| Ò6@êËYà_x0002__x0007_+J9@_x001A_°bq8@i]¾7@g¤Ûô_¹:@QQ/¼_x0004_è5@4I!°Ó´:@_x001D__x0011_9ï.&lt;@6FDW¬R&lt;@ªdÕC_x0003_7@$&amp;V~=@÷p°B:@Æv@¬:@òÍ¤¿ý7@h_x0003_z²G&lt;@a¤Æ`*³;@JSÛÁSÖ:@m_x001B_ZÝ&lt;@)*¡©úM:@º_x0010_T_x001E_Ñ#9@^ÕdG_x000E__x0013_9@z_x0001_§_x0011_ÿw9@Æç8æ_x0015_;@Äök_x0005_o\9@óÔ_x0018_&gt;ï:@Ìß_x0006_¾¥&gt;&gt;@Á°î_x0013_Rõ9@¨÷¦sæ&lt;@ðÔ}9&lt;@¶_x000C_©O=&lt;@PQ&amp;K8:@ÜÅ/¬_x0001_È=@\;yfL);@_x0001__x0005_xPÎÑW:@ª6:B5:@#¼Òi9@@]\_x0010_´_x0004_9@_x001A_Ü$­_x0017_:@éc(¨äp7@«h_x000B__x000E_é_x001F_&lt;@fÙhnJ9@ÌG_x0004_fÔ;@å/Â'$\:@1È14¸[8@9?²&amp;-:@¿Aø.ð:@AÜÎdf!:@§_£n_x001E_æ;@	èièEv9@Ö5÷(`&lt;@_x001C_©àý¬;@C«_x0003_Oñ;@ne°å'Â&lt;@FV¹Æ~O9@C­Ð_x0017_0q:@©4_x0002_ÏÍZ8@N_x0006_µ_x000B_Ò_x001B_;@)£áY5@°=Sü;@Ð\ø%u0:@y¿Pª»&lt;@xJX0&amp;&lt;@_x0012_ÄÎßz9@HBaòà;@1F/_x0004__x0008_j_x000F_9@â_x0019_C»_x000F_o;@þ%b_x0001_ê6@ê_x0018_×´;_x0017_9@_x000B_jÙ&gt;_x0002_-9@Z³"±9@!kxhÑ¡9@~¡E_x0019_9@°ið#v9@Þhïì¾;@Ö_x0019_;A½o:@¨B_x0003_­/_x001A_&lt;@ÅLU_x001E_8@_x0010_DìôGT;@WNç¼ò6@Ý@Râ_x0007__x0018_&lt;@
ßAz8Ó9@9_x0005_¨x)ñ8@tfæÿ;@)þHxíÓ7@¾âÑ%8@¾Ä¥°_x0006_:@õ5Øç;@Í	_x0002_
º&lt;@äN;ê9@y_x000C_BÑ¶9@_x001A__x0013_Gx29@z«K_x001B_9@ø¢_x0007_ºz;@j_x0003_ÿ%¨&lt;@(5Å¿}o8@,_x0016_haÉ8@_x0001__x0002_¡ï9õ_x000E_:@l7ÿ°ÿI8@Ú6ÏÚ_x0004_6@T_x0012_&gt;w	9@_x0005_dÏôÊÐ7@
öuÜv&lt;@ekÍi7@ýPP_x0005_ý;@_x0003_ö_x001B_ IØ8@L*b_x0018_8@ç £?;@_x0006_¥_x0010_åÛb;@&gt;¾NUl9@ïzvL&gt;s&lt;@{
_x0016__x0010_'9@ö_x001F_yÓD87@8}I&lt;9@Õçì_x0010_¦8@:¯¨NU9@_x0018_HÞ_x001D_Ð:@2\tS68@»t&lt;Qy:@2à5Áó¥;@n_x0002__x001B_Jë:@BÁüã+Ç8@_x0011_¢._x0019__x0012_F;@Çý_x001B_Ãõ_x0005_9@_x0017_ù&amp;_x0004_:@éV_x0018_Nû7@ÅB¯ø;Ê9@Y[M¸/i9@l¦íÞ_x0004__x0007_Ëw:@òý:Í&amp;;@_x001A_C.ü%;@8v_x001B__x0001_Ãô8@Ùp_x0005_°Y8@?_x0013_­ÄÑ&lt;@o=æ ¯s9@"´_x0003_=Où8@paHÆ½Ã;@_x0006__x000F_
_x001F_N8@_ÝËEÊ;@_$GQ:@hqû_x000B_È&lt;@_x001B_ÌKÀð9@WLù¯ªL&lt;@iTÃP7@Û®¥]:@y_x001D_·_x001D_P;8@æ\gÄÕ¿:@kÓ_#°6@v£²ÇÇ9=@ã_x0011__x000E_ä³=@e;M_x001C_`²:@÷n÷©ÈG9@Z_x0007__x000F_äcú9@ôÙ_x0002_g$6@@_x000E_°â¾á&lt;@ÀZ_x0001_¼¤ö&lt;@î`±ªJÃ9@_x0013_TåùhÐ8@cù_x001C_{U8@J½òíÅ£:@_x0002__x0003_ê×T_x001E_u;@_x0015_ç'( H6@ï¹Mëv;@FC(?k_x0018_9@:N.kÈ9@³_x0012_E_x0008_:@ª_x0007_/Æ=@¦îç&lt;@Öp²@?.9@qË?þ9@¾òCÙ§P9@ïúÅåª9@óe_x0001_
ã8@_x001D_ì?wó;@ îzj'&lt;@L_x001B_Ûß_x000B_l7@LcÔ_x001B_!á8@Á	J|}:@ºMÅ»8@å*Òhj_x001F_9@·!_x000B_=@óh[Rµ;@;r_x001A_Û&gt;l:@ð?ÿ";@I&amp;¢å $:@^åEX;@_x001C_LÀc­õ&lt;@ø|\!7@ë½ý6_x0018_Ä:@ Zjfº"&lt;@çjsÿÊ8@S¿ßB_x0004__x0007_?B8@ÄßÙé8@qõë­_x0001_:@8Ø´_x0012_iÒ9@jµÖ~j:@vÁ_x001A_àUF7@+þåPdN;@ùt`¹n;&lt;@6ËC61_:@à_x000E_3;@ý"¹+;@Lb_fn ;@ôvc5£;@ôáÀ³,&lt;@è»²x	¨9@_x001D_ü¡m´;@Q	ø.t!9@0©dÞÂ_x0006_;@%k ¤k9@G_x0005_ö_x0003_L_x0007_;@S{1|9@p*2ÿ;@_x0016_õÅî:@º÷_x0015_^À6@»ûRM¸8@P÷Ë·6:@_x0011_ueU$;@jN+Õú;@_x0002_nóô_x0007_&lt;;@í/ºv_x000F_Ú9@_x0019_$UL_x0010_:@dkxc?:@_x0001__x0003_àqÏ%ÌÛ7@ÓÎ¸5&lt;@Dd!ê;@_x0015_æ¢Ø_x0007_=@Ñ:#_x000C__x000B_7@9Q_x0008_­8@dB¥¤L6@äSãÊÃ8@òºdÍ&amp;7@KÜ¡SÝò9@;ÀXãÂ5@!_x001E_o_x001C_X9@³&amp;aX8@¶],B&gt;@g_x0015_9y_x0010_9:@­05oìh;@ZXÈÝ+ 9@_x0002_HcïªÙ6@ÕÜ$_x0018_ô;@ïîbO8@­_x0018_?+_x0019_Ë8@tfvÐ
e:@[îÕ_k8@úný)^&gt;@ÑÕèE=@æ¯æVÌî8@¥[JÓ_x0007_;@$þ_x0004_h4Û:@c@_x001B_ª8@*Tº_x001B_ýé;@Úêæ"a:@FGH_x0001__x0004_¹_x000C_:@å_x0010_ÊÉ_x0015_Ç;@3D&amp;=À;@ úqßÓ4@\XE9@¶Éo_x0005__x0013_ó=@gfOèÑ:@Õ¤_x001D_ulý8@·A_x0012_IØK;@¾ùÃT±Ð;@¹	_x0003__x0010_Â:@0¹Ø_x001D_Ð8@B@¨èó &lt;@²tà_x0017_¶7@_x0004_dÏ§¥t6@ï¦A+*9@òÛk_x0015_9@±.u¹&amp;ý&lt;@©¶Iº
_x0017_=@§\x£³:@qô¦ª2:@üµ®²Ù_x001A_:@©ãÓR;@ìn(9@FÊ_x001E_OÑ¥:@iZ_x000B_þµÔ:@xõBë8@^x=óU;@xn]_x0002_¥9@\ôñDEå=@Ë
Nõ;=@©¼êf	W;@_x0003__x0004_ÔìÔ¶Wø;@iC9_x0017_^9@~J7+_x001F_ø6@Fs	CÀg8@Ô`Ð	£&lt;@ñWÍ'V!8@Ta&gt;´ìC;@¤áÔ_x0007_n,;@øÇu,|±;@Fé¿Å ?&lt;@(`ÿ_x0002_?@mó¨Í¥8@¸CË_x001D_):@ó_x000F_i¤;@öfJN=@Ùiäi@:@`Þvà9@,fÅv"ñ9@|Ñm_x0016_ðØ:@0Su1
%;@©²ih1:@ápk_x001D_:@_x0005_ÃK_x0010_j_x001F_:@.Ø+_x0010_p{:@_x001A_üIFåÆ8@ÉÀ_x0013_¹H:@ðì_x000E_z_x001E__x0001_=@õ³Kåþ5@YÙÞºB:@Ù_x0001_Ð$ë8@óIá88@_x001C_U_x001B__x0006__x0001__x0004_UQ8@áaß_Ôu5@iýµAô_x0012_&lt;@º_x0013_g_x0016_Ï9@§Øà_x0012_8@Ýóm 09@ÑcvÈr8@_x001A_-à_x0011_©9@Yë±ñ7@QxXL_x0019_28@µ9_x0013_`_x0019_:@s¼¾_x0013_86@\ô)}\6@±H Ï_x0018_Ö9@ùhÀ_x0005_î7@N$_x0017__x001C_IË:@½_x0006_ï7	8@¸7S-ç:@=áÎôt9@Áªà_x0015_KÎ8@Yp½Í:@l§ÅÝ_x0004_9@¼ò}_x001E_8@ç_x0005_Þ_x000E_7@Î}
÷7@¼r,ã1&lt;@ÿK¤ög_x0018_;@û%_x0007_6è9@ðÖ¹Æ-7@¼_x0002_ñ:J±8@Æ@·!_x0003_;@â´8@_x0001__x0003_D4ïg7@]uÒ¾©8@hSÏ5Z&lt;@_x000C_]ì_x0017_o;@_x0008_Cè~L¦6@ËYc¬üO:@_x0017_|Í_x0001_ì ;@³\Ã¾':@µ_x0003_ÿÌÚC9@ÜC^_x0008_9@ø_x0006__x0003_ÐÄ_x001D_;@¼én°·9@r_x0006__x0002_²}:;@Ë_x0010_¼Ó$_x0013_;@¢_x0006_mÏî9@SkèïY;@ü[ä_x001E_;@àL/ j_x0016_:@96©
Dæ8@i[cä8@ü_x0015_¾J/b8@#ò)4;@¦ÂÙX¸(=@î)ÝRx_x0011_=@ýë?:ØJ8@ Gor¯9@u$gbf&lt;@y½·-n:@·IcÙö;@_x0012_s«_x0015_7@!_x0003_u*_x0014_:@ùI_x0001__x0004_Sz8@É:m^98@_x0012_¨±ä7@@µzfM:@Ä[u_x001E_=Ü&lt;@bV_x0002_È}7@RÀB
a{&lt;@_x001F_cÉÙ±39@ÝPwµ­:@3N_x0001__x0008_,5@_x000C_(ß8@6ýrôL4@Z¸_x000E_ã9@ÏÈcþGJ:@&gt;¢_x000E_¤o.:@%_x001A_{t:@[ËÞÛ8@2Nîá9@=;­,ô::@n_x0005_áê
99@
Fó_x000F_8@û6MéZ¨;@7õ_x0012_{b9@ ÍcÆ:@_x0007__x0011_'[ì:@sbBÅ}F:@P=1_x000B__x0003_û8@¾BwñC_x001D_6@»®7)S:@»®d¶M9@æn_x0007_Z¬Ý7@x_x0018_Ð9@_x0001__x0003_ îP_x0016_;@_x0012_0_x001F_¬_x0005_;@Áw-ÚU=@XR«²´&gt;@0Ç/zÏ;@d×xü 8@_x0014_c%&gt;_x0004_7@kCíã4@`_x0017_êf.&lt;@Ä­ý:@3F'_x0018_ ÷:@¦_x0005_:-c:@£v,ªßå:@_x0018_ZlÓò_x0002_;@bqÎoKÌ9@Aªnñ_x0006_8@tuXÐs,8@_x001C_×¾_x0013_l_x0014_&lt;@%Íçrù8@Xá_x0005__x001A_I9@_x0016_êõá9@_x0004_ßÂ_x0006_î:@¼çÃ©:@fú,wÖ;@.çlú_x0002_9@Bùd_x000F_Sº8@
]íß4:@³_x0019_pÀ=ê7@ü_x001C_­âd8@DNE_x0005_&lt;@ñ_x001E_º_x0002_I(;@_x0017_ê"_x0001__x0002_ÙÔ9@ì_x0014_º_x0011_Ú=@~l÷^_x0019_E8@_x001F_ÂÇéõW&lt;@¬ïnY7@ãÌ¨Ïü7?@½_x001C_®.5~7@êOf^¶µ8@i¾ÌÎû&lt;@î,üúå`9@èÏjÓD9@Â_x0019_÷J¶:@#§Aó_x001B_9@³_x000C__x0001_	?@_x0004_oN8ø7@ð_x0007_	_x0005_¢@@¤_x000C_¬dØÃ9@ÎÀ_x000F_8)Ø9@@_x0005__x000F__x0014_À=@6ïG03Ë7@_x0006_dFÿ%9@~Æt\?6@5M@à~v:@ã}!1):@·'_x0005_46@oUY_x000E__x0016_8@rÿ~±&lt;@Á½­9@_x0006__x000C_|_x001A_ê~9@¶/§_x0013_í	&lt;@ÜMt§_x0001_:@Âû^Úø_x0004_:@_x0004__x0005_Ã'âpV6@#×¡Ü_x0015_c7@PÍJg½Â;@¸ëvÊ:@Â=©_x001A__x0010_9@[ÔI¶Î6@Ñèg ü8@B	ógþz;@E_x000B_Q_x0002_ð8@­~_x0018_;_x0001_8@ï)_x000F_ûB&lt;:@©j_x0007_£Éä9@`Wþà_x0018_s:@oÁ$ÿ²8@6ð~_x0012_Ì8@Ê¤ÀHo9@ðÀSf_x000E_Ý:@Ð±£k¼9@ù´ù¨ô'=@_x0007_¢OÔÇ&gt;@É_x0010_b_x001A__x001E_m&gt;@%_x0001_ì'#_x001C_8@Û_x0010_N_x001A_¢ò8@t&lt;TTìö9@+ý;@7_x0013_äMë§8@©#³°u:@A_x0003_,Cö8@¡¡¸8Û;@Â&gt;¡_x0011_w8@@èÌ¥_x0018__x000E_;@Kêp_x0002__x0004_Ö:@j8ÂùôF:@_x0007_ëÍ³Ä6@Mèiô7@ê_x0015_dtÍy7@w lWä@:@ß]È5_x001E_7;@èÙ³=!d;@ßh()M_x001B_;@%#ýjIZ9@MÐ*þ£:@ÜU	¬b:@^GìüÈ:@4C_x000B_Öp_x0001_;@_x0015_ãÊÜû:@aw+j¹9@{_x0008_c_x000F_á7@_x0012_w}rzÂ7@¯$`&amp;'´8@®_x0008_«¦á;@[ýóÉ&lt;@xáô±äì9@¾ã	ÌP9@_Ó¤_x000C_{*;@_x0019_øÎ_x0003__x0013_9@óU_x0004_Ð¦ò:@_x0016_k¢½;@_x001C_×¹ll;@\T´9@b_x0019__x0006_Â¢8@jëL_x000F__x0018__x0008_&lt;@+¿¥/ä;@_x0001__x0004_Dä__x0015_Á°7@_x001E_iåÖP&gt;:@+ ÄQ_x000C_Ì;@_x0006_ó_x000C_g6;@¤¡û×{8@3MÈ^:7@jª'(_8@£]3_x0003_Û:@_x0015_¼ü©;@àø°³Èø9@Ø (_x0002_×Þ8@÷§_x001E_Å_x0016_ë=@¶á5=9@;h«t _x0010_;@BÐ
,Í=@âür6_x0013_h&lt;@e_x0014_ÎÅ_x000B_h:@_x0006_]ÈO_x0001_9@¤W_x0006_éÙ:@^/_x0012_©Y¥9@_x0003_»ùç_x001D_8@¥æÏU|_;@&gt;Â³ñ:@Ê$7&lt;@ZG´ßQ=@­öMa	;@¡a«{;@Ð½àwíD:@v_x001E_©_x0017_Ò8@µFÜÜ8@ÄÀ_x0013_ä:@ÑÑ´Ó_x0001__x0003_Í9@C_x001C___x000B__x0002_;@æÜr_x001B_ö9@ÔÔÏ¤F;@®úGõKû:@_x0010_ZÞ_x0006_[¢:@ÞÀ7äOj8@«t5ªm8@_x0018_Ñ_x0010_ùh:@KÉÄ0®8@_x0015_ù=ZÖ8@:ÔÅÛ_x0016_·;@Å8 '/9@9µÁE9S8@Ç8	±\;@
êzCÞ6@]¯¥o¤8@§VêËê:@]_x000B_í^G8@4_x001E_&lt;6&gt;8@pëøk_x0002_¸:@ÿË~¡}9@~O©Ñ}8@f¥îz+Ù7@(°8åR;@ìí`8(8@"
h;î6@«± wªY9@áp	_x0008_:@C_x0015_5y´»7@j_x000B_ö¸;@4_x0015_ß¥è:@_x0001__x0004_Ð1¦ù=;@!Õ0S\7@¹ùæÍJu7@v¶Ï5_x000B_:@h²y`07@¶1[þ=#9@3ú_x001A_)::@Õ8v_x0008_Ïæ9@½_x0016_ Ý§³9@Ò_4Z¾º9@ÈØ_x0002_°àZ:@0)Î_x0006_Å9@ºv§_x0011__x000F_&lt;@d$_x0008_~&lt;Ý;@?Ç_x0007_ :@Úz4ÒÀ7@ê_x0004_bÛÝ9@´VëBÑ:@ÕGèu;@×â:!h9@=@_x000E_%_x0017_^&lt;@[]"_x0011_g9@ftðê9@Á_x0007_ïÀ9@Ô÷_x001E_:&lt;@#\½Aµ	:@Ã­_x001D_4äÇ9@Ç?E_x0003_èç:@&gt;Ê¥úÞ:@H¸¸;¬9@Låª¸Á7@¹å9_x0005__x0006_wD7@¦z_x000F_5WÕ;@/iÍáÁ­9@ÿÀª2e_x0017_;@Z ×dö-&gt;@_x0005_R&gt;ßÛd7@ö_x001D_@üU`8@±f1jµ9@¯_x0002_ÚN¨â6@Y_x0015__=@ø_x0008_²R7@JHÓ_x000C_[_x0013_:@B«)_x0016_î"7@&gt;_x0006_æ®;@¥j_x0014_2vv8@_x0003__x000F_9_x0011_¦=@WýWÿ@;@¥T¿_x0017_r:@_x0005_ _x0001_°_x0016_9@ 'ÃS|6@.üG×?9@a÷ä¤Þ6@1_x0004_ëá:@Ûäg=@_x000C_£_x001D_g÷8@X®­_x0012_ë­7@RB¯
Ñ;@~¤¤åÂG;@b©ÒGø·7@ÇðÆ© "@+àSZ_x0004_!@ª¦_x0003_îÑ"@_x0001__x0002__x0001_k_x0012_r_x0005_M#@±ÕÒq]½#@,§ @nù}­ó"@T_x0013_Fg7ª!@¼_x0017_nÅ#@ _x000F_5ÛPC&amp;@ª%îM)!@%¨_x000C_ò`#@ rÅ3^h$@¿-Ã¯f'%@ö"Ù51ü#@ænêÙÃe"@[_x0001__x001B__x001F_óU$@jÄ×äíÂ!@2{_x000C_ù&amp;@_x0015_©)_x0011__x0013__x0007_%@xM' g_x000E_#@Ág¤0A!@Ê»Sºö"@¼Å_x0001_A-"@£ãcA'@nA¥á_x001B_Ø @_x0017_ÌXËõ_x0004_&amp;@ÕÞd¶ï#@rµ½°½^!@ªT7*$@_x0011_ÿK!@¥°y_x0012_¼z @_x001B__x0008__x0013_#@ßÂkwTô#@Í¹_x0002__x0003_½"@_x0011_Á6´_x0018_$@?]gô9à"@5_x0001_Û(*%@ãÀA_x0002_!@Î_x0019_á©÷"@5h¼q!@{El§3 @Ó®Õ~­ @{..òÔ$@yDÉ¼ï!@r/TPó#@t	e0°_x0007_#@Ý_x0013_jé´Ý!@.å_x0003__x000F_B$@ö_x0008_°Ø."@¸_x0002_¦#Ñ @_x0015_7l'å
!@~«î!@êµØQ¦"@³Ó½Ì½&amp;@^!¡DÅ#@£Hðu3P%@1[»ÎIu#@X	²õù!@çµÇ4"%@9	²0f$@SÉ;Þs#@:Ë*'l¢ @¾m£»{"@@µ_x0005__x001B_kÌ!@_x001E_.³FÂ!@_x0002__x0003_æA;Û]"@Þ_x000C_!ì @	ò³R$@_x001E_&amp;öþ¤2$@õ¿¤_x0014_M%@Û_x000C__x001B_½_x001E_$@¡_x001C__x001B_t_x0008_"@E(^-_x0010_&amp;@&amp;&gt;_x000F_Hb£&amp;@%â_x000B_Jª%@ò¨·Iý!@Ï©¸ÉCæ"@TðÆiú @`ë®:®M#@._x0003_J¹ü$@.U×OMv!@_x001E_ö`_x0017_Å÷"@RÈÅîé!@!i_x0016_x_x000E_é&amp;@B_x000C_¢Þ_x0001_!@ñ­
b%@)tq¡rÆ"@l_x0005_=b«®$@ôRÃ=ªÃ#@¡¼®ÎÈ"@îÞLX#@_x001F_º_x0016_z¡¸ @õ_x000F_cÎ&amp;#@._x000F_»&amp;@,aJ\IË#@Êªr¼"@(
ò_x0002__x0006_i!@@_x0007_Þ{fÞ%@B´cÀÁÍ!@_x0004_«7ë&amp;N$@"_x000F_ù_ @Ó¹z#r"@ãG_x0018_e%@_x0005_Þûl)°!@ù_x0001_?	%@_x001C_¼/B^%@pk_x001E_Ç_x0007_ß!@
ÂØt&lt;¬ @ÀºMÅx!@ÏÑ³	¥%@_x0016_±	·©_x0001_$@×U2Ëü%@ACßpda"@©ö&gt;7½. @ÑQm±_x0003_"@^ëågy#@am£­#@u_x0007_%_x001D_"@¾Ý_x0003_²"@[wÚjW%@Ý¡þ!@_x0018_R×t$%@§i.Ø!@_x0013_ëìü_x001A_ö!@×i¹p!@!ÛÀO"@å_x000C_ñ=#@¡_x0003_ÀJ!@_x0003__x0004_¼
ë)M.#@5ï÷¶%@F_x001C_µ§|_x0003_$@_x001C__x001C_ée#@§¯ùuu!@y_x0001_:Q?ç!@b!/½'"@éSW#@_x001E_	xé_x001B_"@È,®Ò$&amp;@ÐT_x0005_u¬#@QM_x0015_G#@ÖW_x000B_]ò§ @M¹(Ú_x000B_6!@u+ËYùr!@|ç«'Kø!@n6`èË9 @^½_x0002_boA%@ÛþX÷_x0015_!@Ò_x0003_Ù?$@Æ	@¤4d!@_x000B_Øix"@Ý_x0019__x0007_&amp;Ö$@xOì¸©"@®ó)¶"@ú_x0016_«!qm$@Éæ$_x0013_$@:[hë!@/¹ÜJ7+ @:_x0007_?&lt;ô_x001B_ @9_x000B_z_x0012_Ã @_x0005_JD_x0003__x0004_úÈ!@kÜ@Y¤B!@ÒpA¥©µ!@ªÝTd@!@_x000E_½&amp;î`ø%@_x0015_hMÍ¹Ç @ª_x0002_Yk_x0001_5%@üÑM°wõ!@&lt;×B_x0013_Ó%@¸ý&gt;óR-!@w_x000F_ò @\¸³_x0003_"@Ìê1"Ô"@v-þ±1%@(øÆð£!@Õ³Ì¸&gt;ç#@0_x0016_Gh,#@ý®_x001E_rAã"@´¡È[Â?!@ö_x001C_Á¢ûÖ"@&amp;_x0001_À²ò_x0013_"@»"_x0001_I_x0019_C#@_½Um_x0005_f!@V}ëôÚI&amp;@ G&lt;_x0011__x001A_$@%*¯´s§$@)Â¿¾õT!@'ß_x001C_Ð_x000C__x0007_#@_x0008_sÒG¶#@ú ù£&amp;@»=b¸ñ#@Á°h\&lt;k$@_x0003__x0004_Ý =VÉ'#@_x0006__x001C_CoI]"@ªäädJ#@ &amp;_x0016__x000E_Ì#@Äl`f_x0001_"@UfòØ"@¥*µ0_x000F_#@½_x000C_O_x0015_õ¿ @Ý°0ç?"@¯íÿ}¾"@Æ[ïT;&lt;"@Ò_x001B_Ê$è!@_x0013_&gt;ÑNQ9"@®Îþ!@Êë"Ëê @5_x001B_Ð¥ú"@Í¹_x0011_Èÿ#@@Dî^] @Õô£x.%@à'0¼Ùá"@_x000E_w4à_x000C_p"@_x000C_ÂçÌ_x0002__x001C_!@ï	&gt;'§!@©¾:[àg"@_x0002_¬1Æ!@éá_x0006_}H$@#[þ0t_x000E_"@x_x001A__x001F_­î!@YÎv%@6ÔùlåE%@ÌÞ×_x001C__x001F_%@Çd4_x0005__x0006_½? @úz²j'Ä!@_x0012_Ö'_x001A_%@ëÌH ³"@FÍ_x0017__x0001_¡6%@_x0004_Ô_x0004_E!@Îñw½Q"@NÐ"@Dáª=+á!@Gý
¨4_x0011_!@Íß/_x0006_&gt;$@üÚ bâ%@_x0002_dº_x001D_Ö!@dÕÚÌ$@_x001E_¡9Õ1$@k_x000F_å©ÁÎ @koqA#@£l}¯!@_x0014_äÐFÁ#@`S_x000C__x0006_ò_x0015_#@&gt;/-_x0015_¹û"@ÃbÒ_x000C_Ñ"@íÛÔ  @-Á_x000E_@´{!@|q½e+"@°7A_x0003_2#@ ¼é½_x0011_ @TÍûT¹¢#@Tbáè$¿ @G¢£Áíj#@ô2_x0003_h½ @h¼_x000F_@°_x000E_%@_x0006__x0007_s4å!@¿CÆgö#@_x001E_D5_x000F_5w#@ÉP/_x0013_÷s"@Î
&lt;pÀ%!@MÊØÁº$@H¥_x0001__x000B_#@V"^_x0010_bÖ%@]}_x0010_íÔ#@k8»'Ã"@U»¿2	$@: Æ=U© @ñ²_x0002_ôX$@¼D®_x0001_¥_x0014_!@î;fH®Ú$@tí"é¬!@¤¿ò_x001A_L_x0013_&amp;@Ú©¬×£_x0004_#@À_x0011_²£_x0012__x0006_"@Ð¬_x0002_¥j%@Ü ûÎ_x0006_Ø"@Ü¼¨÷q_x001F_#@e6ò_x0008_z/!@¨ó8úv"@_x0018_Ñm'q #@Ãºñ_x0003_½²"@_x0005_1_x0004_L_x0007_#@%	ªÒ.q#@Þ _x0002_y_x001F_Q#@8 _x000E_3_x001F_!@_x0015_&amp;½ÖXæ$@¨R_x0007__x0002__x0003_ $"@è²ù¿´·"@JkÚöiÒ @åT+Ê-"@%~çYê± @JëlÍ%@ª_x001B_9áÑ#@9o_x001C_¥T$@2x+_x0008_M"@Ôgûâú"@,_x0002_Ãl"_x0001_#@%ñ_x0002_!+$@ÿ_ÂÚ¬æ#@^êf¥µº!@²V&amp;Ú_x0003_Y$@®ßU¦\!@æ`_x0015_&amp;?²!@_x0016_h9_x0003_Z"@_x001C_­n_x001A__x0008_	!@ØÑ@øf_x001A_!@=EjóÚù"@ÛÃ}_x000C_B"@¨ÌóÖp6!@ÁOÿà×S#@Ö_x000E_®'Þ#@O_x0013_áÑ;~#@p_x001F_ìRx!@ÈûÊXS'@¨«Ìå_x0003_"@_x0019_Æ{´#@.¡K®Æ!@m+ìj_x001F_e @_x0002__x0003_ER~¾K%@ÌjSË_x001A_t%@2ÓaØ¡y!@q\ãÜ$@é)&lt;Æ._x0016_$@_x001C_¹Ri"@å9Ä_x001A_t8'@ß»i4¦#@B³"ÖðP$@÷âùË:"@&amp;ç^ZÝ"@ø&amp;¹«!@Ä&gt;&gt;Ð!@Ö_x0011_ø¡!@»C_x001D_ãF!@z_x0008__x0008_í_x0015_#@;¼SM_x0001_$@ôÕÃ_x0010_.y%@0P±_x001B_[!@_x0011_åGºK#@y×ò¹ö6"@P8}]}_x0010_#@édÇP_x001C_³$@_x0002_ÅYNºË"@BÚãó¸!@ëìúÀqá#@ø_x0001_úï$@SOR_x001D_Ê:!@oëMÞ·#@P4_x001A_Ï§¦$@o	\äú_"@N}ì:_x0001__x0003_«Ñ!@O£._x0002_Õ&lt;!@w_x000C_Z?D#@bïô_x001F_» @Ú_x0006_ã\_x000B_"@x2ÙW @ÊXLS0%@ô+_x0016_¦Y%@_x0006_K+û_x000F_"@_x0010__x000F_JðÛD"@;(ÓâU¥!@TXx5_x0001_É!@ð/_x0008_Y @Zª._x0012_l$@_(²+LC"@@5òqØ!@^ñA_x001E_¢'@vm²x_x0003_!@ë¹dä|T @,¡_x000C_)_x001F_k!@·"z_x000C_&lt;° @_x000F_¦­À{q!@bùÉüK_x0017_%@´_x0013_£Ýô("@*Ó=¶Äp$@B_x0007__x001E_¦À!@Ø_x0004_¸_x001D_ÁÆ"@Âf.ÚÛ @Ú_x000E_(xYì%@@¼­E'g#@º?_x0014__x0013_!@õ«®%F_x0011_%@_x0002__x0004_]ymÐvø @?_x0008_î5ÛM&amp;@ ©_x0005_X&lt;¿!@_x0016_Gy_x000C_ý"@|Áõ8_x0001__x0019_#@_x000E__x001D_0_x0005_æ!@_²Ó_x0015_"@ÙäÌÆ®¦ @í_x0001__x001E_ÆÀ!@÷/ê_x0017_N"@øÕÌ°z_x001C_#@_x0003_Y&gt;_x0004_&amp;"@ßDU_x001D_!@\ù8+B¤#@ô'*2Aù!@¤ÏPTÊe$@\ý[Ý"^#@t_VTX~!@âÛßH&amp;Ê!@æüão»é#@MÚÉ_x0001_ßð @;0+Ì3"@n(V8ßw @Û¡ÐÁc"@ã4É_x0008_®;!@tÌ*ë"@¾&gt;D%_x000E_$@ý_x0005_CÕ5#@¢']äq]!@[wÈ%Ó$@R 9Á^ @|°_x0008_ _x0001__x0003_áð!@7z£x8¥ @`_x000B_·è%@ÈQ_x0018_­$@_x001E__x0005_³¿1"@_x0003_Xê^|E#@_x001A_÷_x000E_¬_x0006__x0018_"@Ì¿/_x000E_Í%@¤ø_x0002_Ò¼&gt;%@°ÄrL_x0016_"@ s_x000E_é#!@9Rö_x0018_®¸#@¾RräªÙ!@cûùDk8$@x©4_x0002_E @_x0013_×&lt;Ï¶"@_x0005_%®­ä
#@¯Ç¶ó @*Q£ÿô"@h8A$@_x001C_&lt; é:$@«Ç_x0014_¹ê' @®Ô0÷;#@ìÈ³Æç)#@_x0004_äµm×F$@V_x000C_Fà_x0011_#@_x0019_»d_x0007__x000C_ì!@âB¶¦"@°/_x0010_ËÛm%@5aüâÆ#@ÄI[9V
$@¾»ýP @_x0001__x0003_`ÏºÈS$$@{Å]é®Æ%@ò§V^q;%@{,F³¯.#@å`F#@¶x4 Õ#@zsWÚÆ¹!@XþW¨?#@-x4¢£"@ÊB­Ôí"@_x0019_`_x0015_´t @_x001A_6_x0002_!|_x0017_&amp;@¢:h_x0019_Ç!@_x0001__x0011_à"@¯MIQâ$@'e¡Ê_x000C_X!@S7tÈ!@_x0005_º_x001F_ÑÅ~#@×â._x0019_°$@¨Ö_x0011_|!@ðX_x0011_Ùg&amp;@Õ_x001B_|Ô$_x0017_!@og×_!@©ç]ú&lt;%@_x001E__x000E_zôÎ!@¶õÔSú!@[Ú_x0003_%Xù#@_x0010_Hm\Y_x0016_#@e4j_x001F_"@ìÒsÚ%@VLû)_x0010_&amp;$@÷ü@_x0005__x0006__x0008__x0007_#@²°_x0005_µ_x0002_&amp;@½&gt;%ü$@yîyó¸#@Ðe_x001F_Ì%@Ojýz_x0006_%@©éMÇY"@UÿKkO&gt;#@ø¶_x001B_âáè!@vTõ_x0001_ì¨#@s_x000C_Ô*·!@!ÓRÎ"@ßî&gt;_x0010_J$@_x0004_Ì}õ_x0018_r$@_x001F_Ó[H($@ÝéÀyfC!@±+ÓèwP!@DØá7&amp;e%@óÑÜº"@^_x000E_¿_x0010__x0003_"@È_x001C_yú="@M_x0006_ø·$@àIuÔq.!@1Åõ@«"@K\_x0005_ß"@3_x0004_&amp;¬ë$@9Ç8_x000C_\ @¹_x0014_²Wnz%@¦Á_x0004_ç$_x0003_ @»q
SL!@³C¾ÓT"@²¯ÂvÚ#@_x0001__x0002_ÈD(8ð_x0010_"@ªëlp @\í_x0019__x0019_C_x001E_!@kt_x0002_SËÙ @_x0017_pÈetó!@ïQÌ/ðm @ÅÒÅ¾­%@ã_x0012_Ú~U¢"@µY±æA¢#@É_x0003_³Ç_x001A_!@ÿ&gt;£;L$@ÒBkO_x001C_s$@T®3h_x000F_"@¹_x001D_Í= @EÛâ/¿$@É?½åþ"@Ô¼Ù¸&amp;@A¶¼_¶#@_x0010_Ãqö` %@¹h³U"@s×d³"@^WA^""@
M°$vµ#@ëªÕ_x001A_Òz!@D±ÞúÍn!@`â#úüs!@_x0012_ØÀ_x001E__x0015_ï"@)¥¨P&amp;@beÏ$@+,Àº_x001F_Î"@®Ù©_x0006_²¶"@^N&lt;_x0002__x0003_8"@A&lt;_x000B_¸ @cr_x0016_g.$@±å6j#@¢Ë8ÈR%@û.ì¬"@.R_x0005_+_x0007_$@_x000B_Z.-mn"@ô_à£MH#@Ý_x0005_±_x0001_Â_x0010_"@ÌØ®7ù$@&lt;¯_x0018__x001A_"@[MðÍ¡¼!@?_x001D_{³p%@ò.!CçK"@¬_x0003__x0006_Í$«"@Q¤P_x0015_"@yIV&gt;&amp;@ó+¡ !_x0007_$@³«¹QÕ""@	S%7$@_x0005_oÓßLÊ&amp;@Ð®ª@i}"@ðwZºB_x0015_'@øsÏô.`!@üä_x0014_{{#@¯_x001E_ÅLW#@¹_x0013_4_x0019_!@³_x000F_Îb©_x0003_ @rþ¹_x0017_©ñ!@3!.¦¯"@âf§.K @_x0001__x0004_}«Y_x0006__x001B_â!@fý&gt;x ©%@ô`¨"@_x000B_È}?°ã @XykN$ @"ÎßRèÞ$@_x0002_ð !@_x0008_Ê_x0006_ZAµ!@ÌCq¦#@_x0012_§Lºñí_x001F_@&amp;¤S¹ò_x001E_"@âÎ0ë$@g8ZÒ#@aô
û !@_x000C_³Ô_x0003_G "@nsUÞ!#@É7[_x001B_Á5"@o´^2_x000E_À"@H0_x0014_è» @æ%À&gt;à/$@@*-çA_x0004_%@c_x0006_Îc$@,òê_3o#@#_x0004_°G_x001C__x001D_#@_x001E__x000F_Þ¢!@"¼_x000C_¬ÚU&amp;@Zb)QÏ#@§Z¬Ð7#@¦ªìýG%@¥Î,aO#@_x001F_fê_fZ$@3ÈK_x001F__x0007__x0008_n	"@m36µ @·klMp"@ò/by!$@î`oV "@öÏ¿úÚö!@c_x000C__x001D__x0005_B(&amp;@¼_x000C_­â_x0003_$@|ÔK_x000B_Fg!@P|¨ä_x000F_¡!@þù¨öA_x0008_!@ò9é¾Öë"@á\_x0016_#2
"@RÃ~ `$@È¹_x001D_Ö:|"@¬§l302"@9_x000E__x0002__x0008_'_#@ºÇyó_x001C_ë$@þ¡ðCÏI"@~¶a4¿!@ÌË_x0004_Ý_x001B_ !@_x000F_cU|"#@ï%îH @­`×Ô½%@_x001A_m¶sÆ@"@¢ÆS¦"@ÞðôO&amp;#@nA#¤&lt;"@Ú5õ8h³%@Ë_x0016__x001B_Ö #@_x0005_½_x0001_\!@_x0006_@õZi&amp;"@_x0001__x0004_¢Ë;¿&amp;%@râsè @ÐÎý_x001C_d#@ròµÏ!@	3¨§xm#@ Ø¸ÒW_x001C_&amp;@¬¶[c!@Õzwfi_x0012_"@sÜqô»í%@VlÃRY @.©)R%@Nb¢!@NÄ_x001A__x0006_!@^ÖP7ÀÙ#@ºàA @HÅ÷\%@«Üs¬%ö @_x000F_V×,¶%@`ídÅ!@1Ö_x0011_À*"@_x001D_¾áÂ9#@®k	,÷$@ðu2wFO"@"ÉÑ4Ü_x0018_!@Ô^_x0003_Ë_x0003_ @ß_x0008_aî#@â@_x000C_£H &amp;@ÓfØ¦_x0007_"@_x0002_%j_x0010_îY!@ÃÆÍ¹ß_x0002_#@H}©"rZ#@TBwº_x0001__x0003_¢  @_x0008_K_x0008_NÝ @_x0015_ÒE§®I!@q_x0016_Òä	#@° û¡V#@÷½qçb$@äÐ`ýV_x0005_!@_x0010_"h
Ê$@LPCQé @»æ+_x000F_Ëh"@Øø­l¸¿#@âÅUaE²#@$j£ÆÛ´$@_x000F_­ÆáÕâ @£aê_x000F_k_x0014_"@ô_x0006_Ý¢%@æa_x0002_)%@uå`KàS"@é|@¨Q#@=dðçXß!@í¥YTÕ"@bË_x0013_u3/&amp;@8¯¼ÍñÄ#@°6Ü4_x000C_!@á²_x0011_$@_x0011_`×ÇëÀ%@!ÏiÇßW$@þ¦_x0015_%@·_x001C_`y_x0014_$@Ó
Ï&gt;¬°_x001F_@_x000F_[­öø#@\¤M"@_x0001__x0004_w_x0008_/r&amp;@Ðl¡ay"@_ÜZ_x000C_ @«_x0011_D¹&amp; @qM¶ø®¨!@`éz_x001B_¼ï @u.²¶êû @Bi_x0004_,Þ'!@(&lt; cÈM!@­·Ô§u_x0002_'@¸UM®_x000F_¨"@`ÉØ5­8!@¨xÐ#O!@ê!TÜ=ë"@Pö_x001C_÷3ì$@ºsìâ¶k#@åSFE¹!@óëÚ##@\TÔz)É%@éU¤XRã$@Ø_x001C_%_x0012_;X"@[ÇtêZÍ#@gÖ]Ïh$!@1)$óà´#@_x0004_LÔÝa#@_x0007_Pþl!@ïH_x001C_ ÌJ%@îÁOPá!@u_x001E_¯!þ @_x0003__x0002_ÐtÈH"@ÖD7 4¤"@© «¢_x0001__x0002_l^$@¥À&amp;_x0002_õÞ#@GR¢eÀ$@Qì_x0015_½Bð&amp;@èyQÁq"@1'«ãµÍ @&amp;_x0017_ËU!_x000E_!@AK--Ùx"@íq¯TÅ_"@M_x0011_|8_x0005_Ú"@Öô'ÞÆ$@ZjïÊ'_x0018_!@¬Ý×Ê_x000C_&amp;@+°,Ï%@ÎÅîj_x0007_&amp;@L@YBWä!@ÈìaXb!@¸iùÎ1í"@àI_x0015_»ë#@^_x001D_Ð·¯#@Ç,;rd¾!@Ï_x0016_}Ú_x0004_%@z_x0013_ÒKQä#@PÎÙØ×Ð$@²-8­­$@Ú_x001D_øo"Ó"@o¡aq!@ûê¸ÅÄ @nêÏ­!@¿îWÎ0"@!·_x000F_[_x0004_ý!@ÜèÁã8&amp;@_x0001__x0002_A3hZ¼$@à_x0010_È#@_x0014_JFø¼|!@þºÙ¼d$@üäèå#@Z¥Ùj @_x0010__x001E_I_x000E_(m"@Ë@ÓF!@c|Á&amp;@ú_x0017_¿Ï¤$@Æ19ñ~%@O_x0015_¿62!@Ïê 5Í±!@ÜÂb~3&amp;@/#iÄ&gt;í!@¬_x0012_ÂÕý#@øLþâ_x0002_$@Â8°áû!@Gà·Üÿ @¨Êû_x000C__x0001_#@W_x0001_t_x000F_!@_x0008_;Úw/_x0005_$@R_x0019_ù_x0017_#@¸ô:"kò"@[Ê³53!@ã¯D|W"@Éá³^0"@z_x0010_à¡|$@ßÅª2VE$@_x0008__x0018_Ö¡û"@_x0001_×¸=Fi#@þÂÈx_x0003__x0007_Úþ!@ºqôÁ÷u"@w-_x0007__x0015_Ã#@óåp2À"@NI8nö_&amp;@¸¦¢Öî&amp;@	Ú@"@ªzg_x0016_ô*#@¸~|]l"@&amp;(´~Æ&amp;@É}Ã¨_x0011_$@_x000C_¡+¸Rf!@Î{W_x0002_MC$@0nzU%@Rký\i¼%@=öíÑ4"@Z*»_x000C_ð"@jÊ²N·Ü!@v_x000E_ê_x0004_.F"@ku @Fa5ìr"@_x000C_(å«g_x001B_#@.¦x_x001B_$@éA7&gt;R"@&lt;GVÿ#@ã_x0006_wò¥ @[ëË_x0001_Pp&amp;@_x0006_¿S_x0005_#@¨%\¼­Û#@D¬ª"l&amp;@CÏ'?ü @d_x0002_[h¦)"@_x0002__x0007_'µ ;É"@b7Üð×+!@¤Õ!@_x001F_r_x0006_ò_x0014_i @cÔ¼À_x0001_!@º~Õ/j±%@×ÄÂÒòë#@_x0003_­¶çÚ&amp;@ªÆÑ&gt;uf%@3_x0002_Ä»Åf#@ìµ;uge"@Íck³RÖ$@p&lt;û¬_x000C_ä"@}Ú_x0004_¬¯ç"@åªº &amp;@¬}QXÍ!@÷vL¸!@W 7§4&amp;@ÒÖJc"@Ç¾_x0005_+ÈÉ @v3/Tw"@Õwé'W!@A?(¢k!@Çw°_x0018_Æq#@Q_x0015_.ß­Ô!@_x0015_ê¸
_x0014_#@p¦Þ°Cª&amp;@Õy«p9["@H_x0016_WÞ_x0008_i!@T_x0003_ßª%@_¤¡þè$@ÜG_x0005__x0006__x0014_"@Æ?¢!@DLÔ»À"@2µyg_x0016_Y!@p_x0014_UÕR_x0012_#@C_x001E_{U%@Î­7ã°#@ÎIµÕÕQ!@Åç	þò8#@¼²Ùm$&amp;'@_x0004_Ê_x0005_×!@|WÿÑ½ó$@@h"-½z$@B[_TÅ @_x0016_ÂW_x000F_"@_x001B_Qê!@U_x001F_ákk$@®r6&lt;u$@°1Wû·¨#@³(õw¬ö%@oGIÌH!@h_x0003_·d_x0008_!@ó¤._x0015_ÿ/#@_x0014_|óv=!@î_x0002_=÷~ç @$©Ábïª#@Ú×CsG"@ÔàûÒ@"@]_x0001_¥Àö @_x001A_mð¬°¼#@-H"¹%@Ð®p_x0006_7á%@_x0003__x0004_Âú¼Ãw&amp;@Æ¢®ø"$@rák0!@Ñ¢/ú+3#@³¿D_x0016_¦U#@ÍIÌ7w @j®M'®"@D_x0010_¯ý_x0002_%@\ËA-9ê"@!êðÆG× @3_x001B__x0008_·î @g$Ù!@/Á2_x001D_©$@_x001E__x0017_(_x0014_u5$@_x0006_¹e!òÛ"@zú*_x0011_@Ð#@_x0018__x001D__x0016_fÙ$@ÿð~~Ým!@¶ëT_x0005_!@ý_x0006__x0016_£_x0010_$@5;IáÁ"@]¬dÃ²Ü$@p´_x0012_PR4!@eìE$¤!@ëª¶Þ @:8_x000F_°_x001B_%@¦þih»#@_x0003_ëÇ_x0001_2&amp;@#õÐÌ\µ @¿­ÜÆ;$@_x001A_êSÌ"@ÛÊ±_x000E__x0001__x0002_õP!@üU/¦Ra!@Ñ6ðQcv#@ÎHÙÊË @îµ¾@®"!@_x0019_î¾â!@_x0014_¹_x001C_'·Ò!@_x001A_+-×#@2Ð£m|#@Ðfÿ²Í$@Si§pÜ°"@*±£â$@À+ö_x0012_\#@¸|Có!@ñ©ÚÐ®!@L_x001C_©_x0001__x0005_"@lÓ$´!@Î¥z.³ @1_x001C_w_x001D_#@6©Õ_x0005_"@j-_x001E_Ë³o!@ÿ´e_x0018_""@¶Ý'1Ý»!@H4îª_x0013_%@6jrXà @üv¢!@_IIôw$@_x0017_M²h¦b @V5á¦Dã#@á&gt;×;üR!@èdæNô©!@[!E®4j"@_x0001__x0003_y,M3Õ @«XhN¦!@¸µÞk±&amp;@FyH)Ë!@®U]_x000F_J"@_x0016_µuÐµc!@_x000F_ÛÖc_x000B_#@_x0006__x0010_ó]&amp;@ÂÄ_x0017_uÑ´"@Z_x0002_Ø_x000B_ÇÅ$@Tà4#@×J¬&lt;»è$@ú¼ @ô%@n_x000B_{¤wÃ$@T_x0003__x0007_r $@Yóh}«$@_x0014_YÅ]VÛ!@_x0014_»]Ô!@9¯Ul @ØqÅVä!@Ç¿_x0008_L&lt;Ú!@)X\(ö¸"@F_x0016_í_x0017_ Ó @ÞX&lt;m_x0003_'@_x000E_ê_x0002_¦¢$@phµ)l"@Ì_x0003_)üå @Üõ43w!@æIXr1V!@¨,sê$"@À¿òà¨Ä"@pe_x0006_v_x0001__x0002_ï8!@`ôHÅPk"@_x0005_ÚÆ´ñ"@ÍÜÁS_x001C_ñ$@{xé_x001A_é"@8Þs§Úµ$@Qå_x001F_¿Úz"@%
_x0004_£_x0013_ @rRì1_x001C_"@e÷£vå!@¿Íát+!@gje!@nWÙ'!@ø5,_x0011_}$@[wÅ¿hÒ&amp;@fÝÜ¯Y#@k|ÿ1wÞ"@)Ç§PÅ!@Ù_x0007_n²#@dÚ_x0001_¢_x0004_]$@ÙquJ._x0019_"@ÍÎ!aú@ÁEiËQ@Á¯¤_x0015_Û_x0007_Ô=ÁØ­_ãñ;ÁÐ_x001A__x001D_:L&gt;ÁÐcX. @ÁX(HFPØAÁ÷_x0007_Ä_x000C_Ô:AÁèH!åâ@Ád_x001A_Xé?Ás_x0019_7È_BÁ_x0001_	SÀ---©AÁIøð5s&gt;Á)_x0012_ï_x0007_è\BÁ&lt;##7êAÁj2_ÊtJ&lt;Á#ÔF9ÁvÜG_x0017_XCÁ`Ôæ$Í?Á×_x000C_Ls,_x0006_@Á,_x0003_bd_x0013_&gt;Á]çrÎAÁÛ·_x0017_pAÁ_x000E_VÞ¹_x001F_&lt;Á0yT_x0001__x000E_BÁ_x0008_Ki$ßBBÁ*B0õ­AÁ[¿ï?ÁÐ¥Vß0Q@ÁõU{¸Ü_x0011_&gt;Ái­F©¡_x0005_DÁîD_x0002_Ïð½?Á5,Â	|ÙBÁ&lt;aà²
;Á&gt;£DÕc3CÁ²o®C¾ÚAÁ
_x0004_Y(&amp;@Á_x001F_-ô$_x001E_Õ@Á¤¸ü_x0004_Ó?Á_f¿´;Á1e_x0001_ ÔrAÁÒûÂÐ@ÁåÕd_x0001__x0004_8UBÁ³oYâ¯DÁð_x0002_Ã¨y¸AÁµAS%dBÁ_x000E_ê=}?=ÁObæI_x0008_ô;Á0Ùõ©Ý=ÁWÂ?z@Á&amp;¢l?_x001A_?Ásåô7¹~&lt;Áw_x0003_ß(&gt;_x0001_AÁÀ=þ_x0014__x0004_?Áwù_x0007_ÌBÁºrs¾ÿ_x000F_?Á=m! 	BÁZü_x0002_o8è@Á_x0014_övç~?Á¯9Ç&gt;Á#þc)vS?Á#1?o_x0005_AÁJ&lt;SHÔ@Á=ÊðÑ¯@Á÷ÀRré=Á@VO*×ÏBÁÆaznð=Á;ÚU_x000B_&lt;ÁÉ3}_x0005_ö:Á&amp;Ó²_x0013_Ó_x0004_AÁà	hûßCÁ_x0017_ðþëÄí:Á\ÊO AÁ&lt;Ê_x0019_Dì=Á_x0001__x0003_B£¸ÖçBÁv÷'Ë¾
AÁì_x0004_»ëg@ÁPâõ&gt;c&lt;BÁå=¹²_x0011_,@Ár_x000C_îrDÁæ£ç¥Ö&lt;Á/_x0018_g_x0002_º	AÁGïóüVý9Á?"6_ñ_x0006_=ÁnR1=Áö_x0008__x0019_8 A?Á¥_x000B_T6Ñµ?Á­ Ñÿ=ÁP ²×üR@ÁÕè-Ä_x0018_?BÁ_x0011_®¢yCÁ_x000F_¾çå@ÁÔ_x000C_gÏ_x000F__x0004_AÁ_x0018_gZ_x001A_4AÁh¶ê+×µAÁ¿ø½Y"AÁÆénbÝºAÁ¢[È¥&gt;Á¸lÏZ{=Á2VùýAÁöÖ4g@ÁÐó&lt;ÙAÁ®ÿGTÎ:Ásðú)$@Ád{Ð-_x0013_©DÁnO÷_x0004__x0005_îáBÁsX_x0016_+_x0018_CÁÁ_x0012_~èxAÁ·-@¶¡~AÁ&gt;¥Ñ_x0001_!@Á(^Äà_x001A_ýAÁ|¢&amp;_x0016_üÍ&lt;Á\85ì&gt;Á!mZ8^&gt;Á_x0018_òvø2ÆAÁãüw-_x0010_ëBÁÇàÛ2Àü:ÁÂÜ¯|Þ:Á_x0007_0SÙ@Á®R¿8¿*?ÁÔÌ_x0001__x001F_ÓÚ=ÁP`Õ@ÁS4³ÉÜ#&gt;ÁYV¼_x001A_'Å&gt;Á_x001A_U_x0019_òÇ¢@Áqùµ©_x0018_W&gt;Á²	²Þ?ÁM©F;Á¯­Q_x000C_CÁ_*ÛÁ
¨;Á_x0003_\°_x001C_AÁ_x001E__x0005_]ÑDCÁQ_x0014_hMàAÁ¾	ìx¶AÁ_x0002_xé0?ÁÌ?d_x0018_$²CÁÆ¾ô*_x0001_û@Á_x0001__x0004_ÁMÄ[H:ÁÒn.ï[@Á2ûÊdºAÁÉAÛ¦D@Á¢:È³+AÁ8ÖZ_x0011__x0005_ÜCÁùRô&lt;ÁR_x0007__x0014_ôB+:Á¬_x0006_þ_x001E_ ä?Á{+Ç¾Z@ÁUfàOxBÁ_x0017_²ð§_x001C_?Á{M ãÒ&lt;Á_x0016_É5a79Á=Ôàbæ&lt;Á:çÁ;3.@ÁWa_x0011_ÌJ;Áî»_x001A__x0019_}_x0007_BÁEF=PuÐDÁ­_x0012_.A´9ÁsÈ!iQ,?Á_x0003__x0010_¯§âAÁVü_x0003_Ê@5Á³_x000F_ò¶î4=ÁÇ@Ü¹_x0002_CÁuÛ_x0012_oãIAÁòfªQþª9ÁÔ1Ai0;&lt;ÁrÊO×ÁAÁ[²Å;Á._x0005_gEîV&lt;Á;y_x0003__x0004_
&lt;ÁV_x000E_S_x001C_.Á@Ád3£Dq_x0001_BÁ¿Ú§×CÁ_x0007_ñ_x0008_&amp;òM&gt;Áp_x001D_GÞ,CÁ7ý_x0002_\_x000C_ø@Á_dçLÞÈAÁþøB·S_x0013_DÁ þ_x001F_8á&gt;Á$p_x0007_¥_x000E__x001F_EÁÿ_x0002_Ü¾_x0017_=Áú6_x0011_Û9ÁànÎ_x000C_¾;Áæ?ÌtAÁÀ_x0004_q¨³¶@ÁRãÅ[3È;Á=vDª&gt;ÁkøãÙap@ÁÑ]ÅÏ_x000B_@Áãì_x0006_BIAÁÙx¹y_x0008_CÁÖÿÚîÛäCÁÄmapLBÁk_x0019__x001F_äAÑ;ÁtýÛ­5c?ÁMÉ_x000F_ÙQSBÁz_x0014_2íAÁM­r_x001B_Ð_x001E_BÁºaØç79AÁªÇí@Áþ³¿Aª@Á_x0002__x0003_æ®±ÐDÎBÁéÿÉTÑÁ@Á®ø(ºl_x0014_BÁU?ÔAÁ7Þrn_x000F_5AÁ»_£ÊüBÁÚç^­ö}BÁ7£%¨@Ë&gt;ÁlXUL§'&lt;Á Öugg@Á	J±k-k=Á@U¦D_x001F__x000C_BÁ_x0007_T'~_x0007_AÁ´6}Ñã&gt;ÁüQ²Þü#DÁè©_x0004__x001F_g?Á_x0012_Å9ô+ßBÁ(FÖ8;ÁWzíÔ]@Á¡ÅpWNkAÁÌÇPArjAÁlÌy_x0001_ÀBÁ·H1_x000E__x001F_;Á)ßgÏÅBÁÎKÿ'×ø=Á&gt;ª ·Ú&gt;Á°y_x000F_m_AÁä¤ã,ú_x0004_@Á¹K	MöAÁè¢©ÈqÃCÁ?Ùf(@Áüöé#_x0003__x0006_l;&gt;ÁÒ¾GeÝ&lt;ÁVìÉ=i¬&lt;Á¸
Ç*|9Á`¿&lt;v_x0005_]AÁµvJ¤@ÁçyÑª¼@Á[íj'Æ9ÁrZ_x001B_T;:ÁÛèò¸Ð;Á*_x000B_ÙS_x0010_=Áø¶_G@ÁD_x0007_¨-×:Áq5âáq\&lt;Áiõt%Z&gt;Á* _x001A_H;	EÁèõÍWà@Á4ÊUÖÍ=Áb_x0004_B_x0014_è?ÁDOß._x0008_oBÁ5è@&amp;_x0011_;ÁÖ÷_x0001_Úà@ÁTc$4r_x0005_&lt;Á£_x0002_È_x001B_&gt;Á_x0014_W×_x001A_w&gt;Á
;Ñîlt@ÁD«,_x001C_?uAÁªQã²0O?Á_x0002_få?-BÁä*%É_x0017_5EÁ_x001F_sp§ý@Á:3»´ÿÔCÁ_x0001__x0002_rNÒñBÁ_x0016_@¼8c/@Á	ì¶¯E7:Á©(¸LCÁµ^Ñ³Gw&lt;Á _Ï	¬4CÁ_x0004__x0006_ûÖ´È?Á_x0019__x001B_;|@ÁQ_x000C_uVñ&amp;CÁø¯%_x0007_}A&lt;ÁÈÞ|Dä_x0012_CÁnå!üCBÁÒµ_x000B_+[_x0004_&gt;Á§|E
#AÁ¯_x000B_W_x0018__x0013__x001F_CÁ;C^Ê@Áßd_x000E_iokCÁ­ÌbeÓBÁì_x001F_J_x0011_Á=Á¼´:ñ&gt;Á_x0012_o¢+(BÁîÂáAÁ_x000B_àWÓ¨ =Á&gt;6_x0018_-Ad@Áw:è]àï@Á¾D½Ja&lt;Á:G½D»BÁó¤¸_x001D_ÛC=ÁèJíqoaCÁhf0\I?ÁO@+$!BÁYÛR(_x0003__x0006_éÈ@ÁÈ&gt;b4_,BÁ"õ.$ÐsCÁþÿ·U´:Á#±,:F@Á;{UR:BÁ_x000C_¿|_x001E_·&amp;?ÁÔ°N_x0002_&lt;Á_x000B__x0010__x0007_&gt;_x0004_@Áüx__DÁ4¶_x000C_pº´=Á'_x001A_T:E&gt;Á¸º#Öá?Áá_x000E__x001E_×Û?Á:oÚÔ&amp;_x000C_?Áñ_x0012_PüýáAÁE_x0005_L_x0002_ÜP=Áíµ.½NAÁÔvv²±?Á_x0018_îý~RÀAÁáÜ]¥?Áê_x000E_ì¼AÁ;--ª0
CÁ&lt;)9ìd:ÁXJåÂ_x001C_BÁ_x0001_²_x0019_tù(=ÁïPÚ£L?Áâì_x001E_±/AÁ'2|Þ)AÁ_x001C_õÇÍAÁ·åcb¸9Á]QR_x0012_
!DÁ_x0002__x0005_äK¡qÉ=Áøº30_x001A_:ÁêZëå_x0011_	&gt;ÁE&gt;5|?Á_x0012_)û_x000F_(_x0011_:ÁPÀ­Ú_x0017_&gt;ÁÓ¶&amp;¯_x0001_@Á;.t%â@ÁÞê_x0004_tÇÁ&lt;ÁÅ¨È9ì8ÁàAFô&lt;BÁ¸ýu$ÉT:Áúáh¼øCÁú
Cº «@Á£øAAÁÍÇáÄ@Á®ìVi
v:Á_x001A__x000B__x0006_Ð4_x0012_@Áü¢_x0013_K?AÁ!Õô|,=Á_x001F_²«©{5DÁ4ÒÕ_x0016_AÁë7¹èB«AÁCm½AÁ=Bh¨ïEÁËCEÝÅ@Áãi_x001D_¢)AÁÉ_x0005_É_x0015_ÿ?ÁºeÐ}=?ÁÄfÎ¬£ÂBÁ)]ô_x0006_©«=ÁÉ_x0003_ÿ_x0001__x0003__x000C_¥=Á­Ù34ú?Á~[0'_x001F_X?Áæ½ ó+ö&lt;Á!áfû_x001D_=ÁéËäRHAÁêb_x0002_im@Á_x001C_¶'B@Á&gt;Û"_x000F_£CÁæ&amp;£_x0014_DBÁÔËKÆ_x0007_î@Á_x0017_&lt;Ó÷&gt;Á9îH AÁ8$úR_ðAÁ½§R÷_x0007_k&gt;ÁÊyò_x0001_´eAÁ&lt;ý_x001C_Gã×BÁÈZ¿?Á_x0003_"jÃ¹¤&lt;Á,'»¢r@Á{1p-}:Á_x000B_	NÓ`[=ÁñØ¾½UDÁÏf,ÛÂCÁ#xl_x0019__x001F_¸&gt;Á6F£×_x001A_@ÁwÀd6¿AÁj_x0013_`×èÓ?ÁÂÂ_x0011_JBÁ{yRHÒ&gt;Á5çÖ8@Á2_x001E_fÑAÁ_x0001__x0002_
Ø_x0004__x0006_5&lt;Á½_³Í¤?ÁÂ]éña0BÁ_x0003_@&amp;#AÁþ#=Ðq&gt;Á]{s	E;ÁøGñj_x001B_=Áúlß^@Áv?&lt;_x0008_Ç_x0003_9ÁÑnÃãé%AÁ£ï_x0012_}K=Áæ!È¼Ù]?ÁZp_x0011_©?ÁWÕâðíçAÁ¼Ä[?ÁtD&gt;*:Áæ±\wõö@Á_úÄ_x001A_±@Á¨qPcÜ_x0015_@Á¤È_x001E_ÖU?Á;evëµ$;Áu¾µñmAÁ×v ?Á_x000C_uÒ=AÁf¨ÍQ_x0001_BÁèC:Æ£_x0017_DÁ Ù¶_x0010_Å7AÁ,è2_x0007_&gt;ÁeÌ_x0016_¿_x001A_­@ÁÄ \¸Q4?Á°4ÜA{CÁÚ¿9^_x0007__x0008_ß?Á¶w_x001D_ýû&lt;Á_x001A__x0011_
²k_x0001_CÁÓs$þ_x0014_Ñ@Á_x0011_ÿ_x0004_µ-®AÁT{°s@Á?î_x000B_³BÁµ_x0014_
`U©8ÁøFÁòh?Á~o¬¤þ;Á÷Ëé$äö=Ác7vj_x0002_BÁO,_x0010_)x@Á_x0003_Á¯ùúï=ÁeÈVmP}AÁ_x0016_sRl®CÁ_x001C_RÀßQ&gt;Á±ì3ªRCÁK#¦^=Á^y_x0006_iICÁXxn_x0004_"_x001C_9Á»s_x0012_¢gF&gt;Á ùÅì0¤AÁlãgÂ%¼:ÁÎ*_x0015_û_x0008__x001F_AÁ|ßD¸xDÁÏGpçü_x0016_BÁñ"É_x001F__x0007_&lt;Á2fõFø&gt;ÁËÚÓ*è¨BÁõ@ì_x0005__x0017_@Ág¨pt#ôAÁ_x0002__x0003_QAÍq_x001F_@ÁÄ_x000F_	i¹AÁèÉT0f&lt;Á¨õNØ`?Á_x000B__x0013__x0004_h&lt;ø8Á_x0016__x001E_;sBÁ_x000F_5_x0016_÷ëAÁí_x0001__x0019_'^;Á}c:N®BÁðcÄþ¢ÊBÁ	¸ï»vAÁ¾ñJÂ_x0014_W@ÁâGjiñ¾@Á¦ö*ºÏCÁ_x0018_~_x0008_	;Á8¬Ê«É&gt;&gt;ÁÜå:_x0017_@Ï?ÁÌX­n=Á_x0005_ÑÎÞaWAÁ_x0002_¿4ÊWBÁ×ç-a=Á.ï&gt;Ïj?Áå_x0006_ä.&gt;Áôcê6/$BÁqÖ
*wã@Á°É}_x000E_dAÁT*¸ö@Áß¸_x0015_z$|@Á]¿F-US@ÁöÆ#Ä£_x001E_BÁË4u^fá&lt;Á¨`ª_x0001__x0004__x0005_@Á_x0012_´:¯tô@Á_x001C_ðv_x0003_"%@Áf_x001B_®Æ&lt;Á|)_x000F_ó14BÁÑd¡_x0013_òr=ÁJè:´&gt;ÁÖ_x0010_`EY³@ÁÎáö;AÁ_x001A_oß¤ &gt;Á-ú@_x001B__x001A__x000B_@Á_x0013_r_x0016_1F?ÁZ4H	Ñ¦CÁEI'OöÃAÁ	ªæ"@Á_x001D_ÄÖ¬~BÁ&lt;²ëË©@Á/*_x0004_&gt;Ü_x0017_&lt;ÁÄÙ_x0002_Uf=@ÁÛ-&gt;z¸Ã?ÁäÐ·_x0006_åfBÁ_x0015_#{¾_x000E__x000E_@ÁE_x0006_±ò_x001D_&lt;ÁD.Ö-C@Á	\ÐÔ24@ÁFxJÆ_x0003_;Á_x0008_­,ÿ92BÁ xi6_x0002_;?Á6uÞÁûBÁsÿüÞZí?ÁsKá¸_x0015_h=Á&amp;_x0014_Ô_ÍÙCÁ_x0001__x0004_¦} ¯«AAÁ´ïò±ò9Á~ú_x0002__x000E_«à7Á4.2Þ[?ÁÜLù_x001D_Ø;Á_x0018_pq3m:Á_x0012_·M(ãBÁh@_x0005_Z\­?ÁâT_x0013_Ú_x000F_CÁ5Ú_x0003_4?Áj{_x0017_¾=Á:Ì&amp;«GjDÁ_x0015_kßù73@Áç_x0018_üÑ_x0004_gAÁÄ§ J[O@Ááë¶4©"?Á_x0005_æo;ßt@Áf£*Òó@Á_x0007_ì_x000F__x0001__x000F_?9ÁF_x0002_öc;Á\ßÌ¹_x001D_£&gt;ÁÐ­_x0010__x000E_AÁ@Ò.^íAÁ³\S£t?ÁÝlx@BÁ6_x0006_ö¬Z-@Á:Ïÿ£_x0014_Î@Á_x0011__x001E__x0012_þüæ=Á_x000F_FÊ½@Ì@Á_Xð¸òAÁ"¹1_x0008_©=Áv_x0010_Û_x0002__x0005_§Y9ÁrÂÀ¶õz;ÁCàò_x000C_Ã@ÁyéÏÃ_x000C_ÖAÁ²gµ_x0017_·	@Á_x000E_ã_x0011_T(@Á?{¯BÁö5ÅÎ_x0001_AÁ½å²Öª:Áß&amp;âÊèCÁU-å}_x0018_YBÁUH_x0004_R8BÁÒÌ+lS?Á/F°eBÁ_x001D_KÊ¼=Áé_x001B_"W	i9Á_x0010_£BÓUAÁÐNÔºÈ&lt;ÁÑÿæ¾	M@Ájgw a@Á¼f:;§AÁ4i&gt;¤	CÁ8ø]Þ3&gt;Áª¢àXçÂ:ÁÜÎHäo?Áß±o:ù?ÁÂw#¬þ§6Á_x001B_Äe_x0005_AÁ&amp;H'_x001B_AÁ_x0010_v-ö@ÁW¯ÿ|I_x001D_@Á¨Èñ_x0003_­
BÁ_x0001__x0005_Þ¨Cn|BÁ_x0001_h¤ÝÒ@ÁØ@k%*CÁõ÷Æ¨øBÁÑ9_x001D_j_x0012_&lt;ÁµÏÄrc=Á-%#ÑQ\AÁ¯1­mãnCÁz´Ù%ÌAÁ[öDà¼@Á#Ö0Þ8&gt;Á´_x0004_}+LAÁÅ_x0002_·ª=_x0018_BÁXáÌý5²;Á_x0019_PR_x001D_À&gt;Áf	BÁ®_x0007_û·;Á¯L¸_x001E_DäAÁÚ¹ù^-;Á1H&amp;dw_x0014_@ÁN_x0014_âÓ@Á¶²}¯Y{&gt;Á_x0003_IÓù@Ád_x0007_Á¢áïDÁ `Uä÷WAÁ¾Ëèò_x0015_AÁ·ðÖð¸?Áö ¡du½&lt;ÁQ,áLê?Áa°aC*¨&gt;Á_x0002__x0016_Ôn@ÁéY_x001C__x0001__x0003_j@ÁµÈ£_x001C_@ÁÝ]§ªAÁÀ_x0003_âÜmQ;Áê(BíBÁP«V_x0011_wAÁ½ppV@Áä_x0010_ý_x0018_Iï@ÁJÞ?Á_x001C_.õ_x001D_»CÁF²_x0002_÷Ê@Á_x0014__x0007_×Üv¢@ÁgCzEÞ@Á8ÁãÔ?Áó1¹7w\@ÁÎ0D£µAÁTÁÌ¼Ç@Á÷_x001F_°Wñ?Á/3_x0014_ûBÁA¾¥_x0010_@Á,ôfÙ_x0017_ê5Á_x0014_þ5 _x0010__x0015_?Áä_x0011__x0017_blT4ÁvÐ_Þ?Ád8±¦­9CÁU_x001C_'ò@$AÁCHN¢(AÁ®©]Áý?ÁÁêÍSAÁ7_x000C_Ç_x0002_6AÁTîÆoAÁû"!&gt;bî&gt;Á_x0002__x0003_Äæü¼ y&gt;Á½ù(«üVCÁXó-Ð"=Á_x0001_OWw+ÓAÁ_x0012_(á0}öBÁ_x0018_y_x0010_Ã*@ÁÀ%f"_x001B_ç@Á~
_x0015__x0011_HDÁ'¢.¯×?Á %Óì=»@ÁªcÈ_x001C_AûAÁ²6_x001E_.²&lt;Á LµÁz&lt;Á:à_x0003_·``BÁdÜúÇµBÁï_x0010_LkÓ_x0007_@Á¯ü_x0019_þS{AÁ&lt;ÉÞÌ_x0016__x0016_@ÁýÃ_x001F_1õ?ÁïËó&amp;»_x001E_&lt;Á@³¸!#A@Á_x000C_þù.Kq@Á0-_x000E_Mz?Á¨evÐ_x0003_ :Á½.¬aAÁØ_,©&lt;Á¥Y=1AÁíbaÔz_x001E_AÁ?ó±ÜAÁ~\aïØ1AÁþníd¡²@Á¬Â_¿_x0001__x0004_&gt;w=Á(0Ù7 µ@Ám_x0006_ÚCÁ_x0004_*¯@Áù{_x000C_q¾@ÁJx\ò_x0008__x000F_@Á_x001C_à^ÛÅ¯AÁQ\Êå_x0005_¶?Á_x0007_»ò¸_x0014_AÁ_x0006_)qZ)DÁ_§×;A&gt;Áþ6¡}ÊAÁýÑ_x0001_39½BÁ 9¢ºBÁÔË¡%CÁY­¢/_x0012_AÁ¦N_x0014_CBAÁ^_x0007__x001A_û
&gt;Á
£JY(&gt;ÁG_x0013_Ê\øâCÁ_x0002_£÷Ág&gt;ÁÃ
¸d|ÿCÁWçn-_x0014_BÁVÌ=QAÁC_x0004_$Z0CÁDCÚø&gt;ï&lt;ÁÄ_x0017_È
Ca@ÁÍ:Äl·@Á_x001B_ãûGBÁ¹±R_x0003_QBÁ$JnÜ@ÁUë6_x0007__@Á_x0002__x0006_yòïO_x0014_AÁ_x0004_uÝS#?Á\_x0014__x0018_Î°lBÁ6_x001A_	£KDÁ +k¹|w?Áß_x0012_ÆSPCÁâ+5&amp;_x0003_k8ÁXuÅ«£/=Á÷_x0007_Îm{½AÁ6×_x001C_/_x0010_CÁ	{ËÅnDÁ+ZBÁF$ëòX_x0011_AÁ_x001C__x0002_:ùCÁîä#-=@Áx b_x0011_u&gt;ÁÔµpI_x0018__x0008_?Á_x0006_{ç&amp;rÒ=ÁÓM_x0002_&gt;s?Áx_x000B__x0013_ö.YAÁåkÍDÁ2d¯`Å5@Á¶*ùû&gt;Á_x001C_mß&amp;_x0001_BÁØ_x001B_øÓ_x0005_CÁí_x0018_ö««L@ÁÌÞ/É?ÁðñBDå~&gt;ÁÆ%nQ½_x0002_?Á¦|{_x0015_3f@Áæ
P"BÁ_x001D_il¿_x0001__x0003_|ù@Á¢
üê¡AÁ_x0002_ýèâþ=Á#9)ezBÁ _x000B_v_x001E__x0019_¢?Á_x001E_Åã¥_x000F_·=ÁÔÄaS_x0015_³AÁ ~jÎ!@Ámeõ2AÁ/:~¤1@ÁNÅÑ®:@ÁÃ_x0001_ð:_x000F_?ÁPtÜY½&gt;Á©_x001A_b_x000F__x0004_ò@Á_x0017_kü9V7=Áj*ªÕ`þDÁÞ¯Pco@Áæl¤BÀ@Á¯òåð7ÁäuhW_x0012_BÁ)P#C¸_x001A_AÁÛ+ô_x0016_a·BÁËðáÿeBÁþÞ÷.¡ÒDÁ¦]_x0013_=SAÁ7ªÐ_x0015_øAÁ_x0006_
_x0015_ãêCÁ&amp;Ug_x0019_@Á`6y¥rÕBÁ±áý?ÇBÁÇ]_x001C_hCAÁ_x0007_%`Ò[FEÁ</t>
  </si>
  <si>
    <t>6941d54ebd7aebd3caad15a8ac8b15ca_x0008__x000B_®Â_x0013_¡BÁ!ºµ`0_x0002_AÁVgÓe¯?Áz_x0005_þ_x001B_þc&gt;Áw_x0005_Ê¸b¥@Á+_x0004_ô G&lt;Á®Nå=_x0014_(AÁÑÒH¦°m@Á]#QpCÁv¢Úâq7Á;_x0006___x001E_hCÁØM++&gt;Á"jõÃe&gt;Á)ÎÂåà_x0011_?Áû¿úüùô&gt;Á­ª_x0003_Ïô_x0007_&gt;ÁÚ§A§W=ÁFys´¬¾EÁLÖ/××=Á_x0016_\¼²R_x001A_BÁ×	~[v@ÁNÞ®øáFAÁy}_x0010__x0019_¸,&gt;Á¥s_x0001_6BÁ$Û_x0013_Ú/BÁ_x000B_â	TÀ&gt;Á|Æ°ñíT@Á_x001C_Q®ÓùAÁÃD3I@y@Á©Ç3Â=Ø@Á-»e2_x0005_BÁ&amp;³Ã_x0001__x0002_0@Á¾_x0003__x001A_ìÛ%BÁ5w
Ý¢m&lt;ÁD2u(ÏMAÁL`x_¨&gt;AÁ|A¤8:)7Áá _x0005__x0012_æi@Á$'wbBÁEÎ&amp;÷_x000C_ÐCÁ=X¸!û_x0005_BÁ_x0004_0Lõ%ðAÁHì8!ø:AÁø×5Ù=;ÁPï_x001A_õI@Áö$_W_x0007_Y@ÁÖó_x000F_Iv_x0019_8Á$_x0012_ê_x0001_æ;ÁÁWºþ&lt;ÁÀ7gJ»£AÁ_x0006_,&amp;´Ý==Á_x0003_ewµ&lt;Ï@Á2_x0017_hàONBÁØÎázÛXDÁ_x0002_Ñz?HAÁ0)&amp;Á'6ÁAZaæ´Ö@Áò"_x0016_hlAÁf1¯U**BÁXHcð.AÁ³&amp;Õ=_x0002__x0018_AÁ'H®_x0002_¡~@Á3;U_x001A_ÞBÁ_x0003__x0006_LBzUFÁ_x0004__x0011_~_x0008_n;ÁØê]ÕAÁ&amp;²_x001A_gCê@ÁLï[_x0002_¿Á7ÁÓö_x0008_í~;Á_x0002_ë.MBÁÏmæ0Ú;Á_x0004_#_x0015__x0001_(DÁ(_x0007_ú_x001D__x0017_CÁ´kÖ¾=Á½Ë_x0017_ÎHhBÁ­WP?@Á 9Ý|AÁqàÉVn&gt;ÁR2Åç__x0010_BÁÊ!;³&gt;ÁÖã!CÁ_x0010__x0006__x0006_¿ÜÏ8Á_x0010_Bb_x0005_PAÁß_x0019_R#ÿA@Á*9_x0015_®béAÁHB_(BÁ¬_x0004_3xÑ[CÁt_x000E_`_x0006_OFÁ-µÉ°¨BÁW_x000F_û}èl@Áö{_x001B_Ðö¸;Á?åkI&lt;DÁRúº\hËCÁ_x0016_ø=¼_x001E_òCÁ_x001A_Ç.¼_x0001__x0002_m½DÁd°Ìf9Ö&gt;ÁfÏÃ´AÁÒzÝxxBÁU_x0001__x001E__x000C_Ü@Á_x0008_ù½øN=Áåþ\_x0003_Ê&lt;ÁC­hä=Á_x0011_AAÔÝAÁ&lt;þçV=AÁÎòÉ¼a_x0018_AÁ­_x000E_Ï±S&gt;ÁXÐT6"tAÁÉÌ&gt;Ç@Á_x0017_@ÇíÀ¤BÁú JùöBÁÁÕ_x001F_ù7?Ánìu-jAÁÐ¾a_x001A_@%&lt;Á$ ±¬BÁ_x0011_/ëv¬CÁäâ{­B=Á_x0003_ñ!»§§@Ádoyk1´&gt;Á_x0012_+È_x000C_]å@Ár»R8Áû¦À¬Ë_CÁëò©tÞ=Á[üv'&gt;Á@ _x0004_¬¨@ÁkWXÛ¿Ä=Áä£8Æ[:Á_x0001__x0005_Ùñ±UÛ@Á@Þª¾Æñ?Á_x0004_F»^_x000C_DÁ_x0017_iØ@m;@Á½·Ü;Ô&gt;ÁA_x0016_&gt;1VÅAÁ&amp;ã&lt;£cEÁËãSÙpK@Áqå,$Ú@ÁPY&amp;Ò=Á~¢hYÔi;Ágÿ_x0002_7?ÁFä_x0003_Y¢o=ÁøÐlh:KAÁä¥*hAÁÉ_x0014_ªk_x0003_@ÁV9éë@Á¾)ªi8¯=ÁËê^Z_x0008_=Á¾e=¼_x000E_hAÁGß4»åAÁ_x0014_BWHþ&gt;ÁboÙSÂ?Áë8ýPõ&gt;CÁ,_x001D_Õ_x0010_X@ÁÛ_x0015_{±c@ÁgªKH@ÁLJ¡êõ¢BÁ{c`(_x000C_ÿ@Á_x0014_§ôªÌ&lt;Ád.
_x001E_ßý=Á#pÝ_x0001__x0003__x0004_,@Á{lX&amp;ôBÁeö_x0008_¾x]7Áv9é&lt;Áð×_x0016_nûCÁj^';¥AÁ_x0004_×y^_x000F_AÁD¬"uBÁ¤üÚß«@Á_P»¬N±AÁpédcÜ&gt;ÁÜ²âh_x0003_ç;Á´¨È"å9ÁgòÊ}R&lt;ÁáíÞ8_x0001_
=Áw­·|Í¢DÁ;M_x000E_×BÁ&lt;ÅjBÁü__x0014_ÃI-AÁÉÔM7¶@Á_x0008_u_x0017_MsÎ&gt;Áç%qñsEÁ_x001A_èf_x0008_ÒNBÁe:BúbAÁvyZ_x0002_%?Áé&lt;ã´_x000F_EAÁCüÃºëZAÁQàªB_x0005_?Á_x001A_£®Z_x001A_qBÁìÔ²âÝèBÁmâÉÏAÁk_x000B__x0014_(iCÁ_x0001__x0002_`]¤³oBÁ_x001F_¯_x000E_}_x001E_?Áx¤bÆ_x001B_&gt;Ác¡_x000B_AÁë|±l6_x001B_CÁ'35BÁ¡Çþ(7@ÁÏ_x001A_1_x0006_@ÁÝ õP#ÿAÁìø`_x000C_à@Á´Råë_x0005_DBÁED|-·&lt;Á_x0017_20Ò¦¹@ÁýæCë_x001C_p&lt;Áä_x0017_#ÓAt8Á¸_x000B_`ìO@Á-ÿøü`AÁæ_x0006_§¸|AÁ\_x0003_H¿µ1DÁ°^,
p¼&gt;Á¤¥_x001F_ôy&gt;Á_x0008_å¨÷ç&gt;ÁçCq_x000B__x0012_@Áªÿ_x0008_Rº@Á6u._x0003_ßõAÁ§.Wj¸;CÁ¤Õ
´N¯EÁIÕnñ	¯&gt;Á¤_x001B_úVI8Á+À_x0019_¿_x0008_GBÁªe#¸_x001E_ê&gt;Á¤Øw0_x0003__x0005_z¶CÁ½Ð%!v_x0006_AÁ&gt;^qGàDÁLµ=yÙACÁÎ_e0&gt;Áz¯_x000C_}ü@Áâd°m+6GÁé°t_x0016_í@Á_x0017_!y×3_EÁ,{TÁ_x0002_ÞBÁÓ£Mê_x000E_D?ÁB_x0010__x000B_7_x001E_@ÁÀwE
.&lt;ÁêtN=ùAÁ¬^_x0006_ñ¶_x0002_5Áf	bÃAÁå,Ñol&gt;ÁÎhRV+Á+tËøÁÐCÁ¨x8EÁ¾õÝk±:Á6_x0001_x
²)ÁbND_x0002__x0012_ÁÌkÔA"9Á/Ådãn:#AÜ.,à8ÁÌsÌfg	!Áâ×
Ä0 9Áªî»·½=ÁëÇßtBÁtEÒ.	CÁj_x001C_¡T_x0004_*Á_x0002__x0003_:_x0004_#(_x001B_pCÁ(;Ï¡f;5Á[]#Þ_½7Áût4_x0004_4ÁNXn[x8Á_x0001_Ñg=_x0010_G1Áºù&amp;
E8Á@cOÄBÁ®E+2_x0005_=ÁÞ|ÉG~8ÁìYÜ_x001B_BÁ_x0012_m»_x0011__x001D_ÁÓìÌ¿V6ÁÎ³ê!Ãx&gt;ÁªÞÔQº@_x0013_Á_x000B_TêÄN2Á¯W¿~×PÁ_x000F_"AN3_x001E_DÁÐ_x0005_síé¸3Á^öS_x0003__x000F_&gt;9Á_x0012__x0002_ÎÄÞ@Á« Û·vDÁà¤_x001B_xE`Ü@ò^¶døé"Á_x0003__x0014_Îj í_x001B_Á6~_x0019_+,Á¥pA¸Ä@Á	P_x000B__x0019_nÅ?Á_x001E_Ô¢«ã"1ÁõdÞPÁ27²e/ÁRmr_x0005__x0006_.6Á_x0004_Çh5s=ÁÇyâÂ}N2Áb_x0014_«Q"Á_x001E_t; UCÁÔÉíôu1@Á_x0004_"^*à5ÁÊ¨¹rì&lt;ÁÂ`ß]_x000C_&lt;Áîk.éÕÄ,Á4ô¬²ÝFÁ,_x000B_È6_x000B__x0012_ÁLßa_x0017_Á6_x0005__x0019_K)W4Á½ÙâÔ5ÁD0âæ~´_x000B_Á_x0003_Å×_x001B_ÙFÁ_x0010_È®_x0002__x001D_ÔíÀ@»C²@MÁÔÅf©Dz_x0001_ÁÀïÛ»:ÁdñºÁf¹	AÊí(5Á_x0002__x0004_é'Ù9;Á°Ä_x0012_ÿ9%Áªç_x0007_l_x0013_&lt;Á4ñÇÒ:q/Á¬Jmxø'8ÁÂÎ0{Þ&amp;Áô¶ûá$FAÁð;_x001B_µ§¬_x0015_Á2_I_x0003_-IÁ_x0004__x0005_*Ò_x0003_E.Áì_x0012_Jõ²ý+ÁÉ?ëWò¿8ÁåF^Æ_x0010_)HÁhï(òÀê$°T¥5Á:;?eÙ&gt;ÁyÁæýFÁ_x0005_ó_x001F_._x001D_C2Á¼ÖÁSòö@,2Ê_x0001_M4ÁÍ»¨1ÁÛX£wG@Á¼ÐÒ§0Ád sçÍQ6Á*$Ñ_x0003_ã"Áé&lt;½&lt;A@Á_x0010_è_x0012_jð@8Áâ­_x0012__x0018_1Á×¸Ï|OÁTù¿Ç|ö_x0003_AãæéÁEñHÁnÄ_x0002_°_x0016_DÁ8«û_x000C_¡þÀâ´*\ ¼=ÁÚ|Ò×¤Ë4Á0:_x000C__x0013_©æDÁIFG_x000E_û	&gt;Á(®kY_x0001_3Áº_x001A_eò´DÁëË&gt;tuß8Á¨_x0001_Ò_x0001__x0004_Ñ+'Á[¨lko.ÁÚ)_x001E__x0002_T,Á:_x0019_YþyS:Á*_x0005_s;~8Á`º®_x0005_ÁîgÁn Ás_x0005_&amp;OFÁ2å
â_x0019_oAÁ_x0003__x001D_üy¼6Áøù3m.³AÁ%-cZÎ:Á½@¿84Á9_x0010_×ê.AÁÂ]Ü¸:Á_x0002_»_x000B_5ºÅ6Á®d`?,%Á_x0003_ÖoyÁB5Á·ãqÐÑ¿CÁ×}»Ô£)#Á¥x.d_x0010__x0019_5A2B?Ò)YEÁgØ("7Áwi¹?÷/ÁþLk_ä½@Á0}®8þî&gt;ÁÈû+Ú_x0016__x0008_&gt;ÁÇe­+_x0010_ZAÁ¨_x0013_Äzî&gt;Á_x0007_»= ìCÁÜpË÷¬1Á°S´£{&lt;Á_x0002__x0005_è'1?&lt;?Á0z/_x0003_
+ÁÒce¦=ÁèZÌÉc­&gt;Áõ÷dlg&gt;Á_x0012_Õ3Õ¤:GÁ_x0008_¸½u	e5ÁÁW EbÅ@ÁË`tIÒMÁ¿*&lt;Þ2Á=çøÚá&lt;ÁçW&lt;5ÄCÁP_x000B_¢3B¸1ÁÏHìk_x001F_¾1ÁÔrAßóÐ4Á¡Îz)W&amp;Á`ê¢_x0002_ÊÓ;ÁÏGÄ_x0017_iAÁêyöÈk_x0017_'Áw_x0006_Z_x0012_'Á½_x0012__x0004_@áA"ÁÖ^°núBÁ=)nì_!@Áâ¼¯Ð¤AÁìÌæò 3Áô)BõÿCÁ&gt;YÄSÕ&gt;ÁwØë jBÁí_x001B_AÎa9Á§\_x0001_bN@ÁþPÇ_x0002_949Áµ_x0010_¾x_x0003__x0007_7_x0014_Áä!T_x001E_ #=ÁBH/J¯4Á¸;eÓ³@ÁB¾MoÓº4Áü?Xrô÷KÁàÁ\_x0005_f&gt;ÁZòÜ_x0006_X:3Ál%ºïQ4Á_x001F_ÃãÁÆBÁZÌlðÜ9ÁÜ2ÒP{\HÁÈ°àË_x0011__x001D_;ÁFö¾¥_x0018_Áj²e¬.CÁ¤ü²_x001D_ê_x0002_Á²!`Þv_x001A_A_x0018_Ðd¶À¼BÁ_x0011_62|ßEÁwå5_x001F__x0005_9Áæ@_x001D_ê«@.ÁStg%êFÁ°¶_x0005__x0012_&lt;_x0011_AXôäÑ?ÁÆ¼ÖAÁ® ~_x001C_ _x0004_4Áú_x000C_¶_x0010_¸6ÁÌA.6,&amp;Áø
qÿjZ=Á:Ê¦_x0001_ò	4Á_x001E_x)¢å6ÁÔ¡í5H¢7Á_x0001__x0002_ ÷?êÉô@ëb#3ºª6ÁzeÍ|_x0001_OGÁìnÏp5Á¼+&amp;_x0002_|:Á_x0008_0TKåñ@®_x0010_Ù_x0001_Ú:Á*ò_x000F_i£_x000C_7Á
_x000C_)Üd_x0016_GÁ¬TäQs?Á6z_x0005_"/JÁê_x0008_ªß(!ÁØÖ_x001D_ÉöÀ8Mx|4ÁtûH­ºAÁôÅÁ_x001B_ÀÒ0Á1ýÁÖ&amp;&gt;(Á0Ò(&amp;*8ÁÕsôXp,.Áá_x000E_ÉÙ$?Á¶éÙ(c&amp;ÁÀ]iûRBÁ_x0007_Æ/«)Áæ"ñ_x0019_=ÁcmlÞ_x0004_3@Áæ^g78ÁQ_x0010_ÄÞ-"Á£wÄ·_x001E_ÁÞ_x0008__x0010_F×AÁúcõne):Á^nà^oá;Á¬Å Ó_x0005__x000B_!;GÁ­¥{º|BÁý_x0007_ïÍ'_x001B_%Á¦aà£&lt;ÁP*Z38Á­£&lt;èÏ
7ÁÔö|×Ø_x0017_EÁaY!s_x0015_2Á±P¨_x000E_6EÁî°¼o8ÁÈI¾ v87ÁÍ-G-EÁj_x0006_{.­?ÁV,5ÆA*ÁQ@0Áó_x0014_Á_x001D_o­hu.@ÁîªË×»3Á_x001D__x001C_É_x0001_0_x0011_ÁÑz¾ºù_x0004_4Á_x0005_»É_x0001_ö8ÁÆq=øØ@Á_x000C_»Î(h_x0013_Aý_x0008_õê_x0010_+ÁkØtÏ»ÞFÁ	)_x001E_©f3Á.Bfo_x0011_Á4Ôü|Ñ3ÁÝà_x0002__x0001_õ@ÁÍECh_x001E_å_x0010_Á_x001C_ò &lt;Àü_x0003_AÒxSG_x001D_÷_x0013_A¼_x0003_"!@Á_x0003__x0004_étUéìøCÁ`´§¼^
ãÀ|_x000C_xë¼9ÁîtY9ÕDÁTÀH_x0018_tmCÁx±#¿]_x0013_AÌs2Æ¬4Á_x0019_¿ÅHVCÁ
q_x000B_°oc@ÁÍ*·ë .Áª¶²(_x0018_ÁA§²Þ5Á=¾
_x0011_3@Áëp¥ì{_x001F__x0010_ÁÑUæ×ËTAÁ7 tÿDY-Á=ëEÎ6ÁH¾_x001E_Rþ;Á_x0003__x0007_¿æðÂÀ^_x0012_xÓ¼í_x0019_ÁÞ_x0003_ÉR%@Á*_x0014__x0016_ÀX@9Á,	ÌºÙ_x0007_HÁ]_x0002_Õ_x0012_ô0:Áìb±ÂÖ0ÁáAnn×ÃEÁ¢X_&lt;¿0ÁG¶_x0001_3|_x0006_1Á¹¸bö?Ám_i;Ø8LÁ³ \:£AÁ55÷Ä_x0003__x0004_qY8Á?³fµ"x?ÁºÏ¾2&gt;ò4Á«y_x000E_æÜCÁ@ë_x0011__x0016_;Á&amp;Z9:ß8ÁÌl_x0011_5	½_x0019_Áy.å¼BéOÁ&lt;Á80a_x0019_Áò©ccè?2Á_x0014_:©	q×4Á^ë_x000C_)4EÁËY_x001A_Å1FÁ\æµ_x000E_t6ÁIèê_x001D_ï*ÁlóÎVG/Áþ~_x0001_f³h/ÁHâ£½0.Á³ 	G&lt;x@ÁnOÔ{6@ÁbÚ9P_x000F_:BÁPè§àZÔ?ÁfÎ¬¤$é,ÁÖÀmØ2Á;_x0016_@]ö9Á@ë·_x0015_Ð1;ÁG_x000E_Ü_x0011_ö&amp;Á«Ðøn_x0003__x001A_Ád$ñ'ÖcDÁ¸ó:ldÃò@W_x000E_6__x0003_RÁäÝyÃ_x0002_A_x0003__x0004_ÜñU°AM1Á?I_x000B_wwEÁÀ'YF§SÎÀÛÙßÜ_x0008_(Á¦)_x0002__x001B__x001A_dBÁ_x0010_¡c+F_x0010_6Á_x0014__x0003_'¦_x0004_LÁûÍ­®EÁÎÒ_x0007_0ß?ÁP®_x001D_-ÄË=Á)þ±]ØCÁ_x0008__x0015_}¡üú
A_x0019__x000C_AÁ¶Sýóµ-Á_x0002_ÍÒë1õ7ÁB
&lt;__x0001_9Á	O_x0015_à37Á&amp;°Hø_x0001_
;Á(ý{ }AÁ0ù¯Ñ_x0016_X6Á'MþI9Á_x001C_Í¨G_x001F_6Á¸_x000C_4&gt;_x000B_g?Á|GJÝ¬8Áºè²;»u_x001F_AªXnîi¢7Á­+Ì"
3ÁÌõë=´_x0003_Ári_x0006_:yU8Á&gt;c_x0018_/_x0003_AÁN4ÐcÖ&amp;8Á¢~(_x0001__x0002_OõEÁ¼Æ ú¦&gt;ÁççÍ}4ÁV²þ_x001D_ØW)Á's_x001B_ÇB;ÁðBãa_x0001_AÁ_x001C_Ê_x001F_e{"Á_x001E_czx4!ÁAÎÛ*ß_x001D_GÁ¶HàkMrGÁÍÏµÅRw#ÁU=n8øØ*ÁØ9Á_x000B__x000E__x001E_1ÁdÑ{q_x0010__x0001_AÔñ Mv}.Á=Iý_x0007_"Á_x001E_G;zl:ÁJ_x0006_ÏX[_x000F_.Áö3Ò_x0016_Á^_x0008_à/Ï*Á/_x001F_4?~_x0017_0Á_x0010_²æ¬þ£$A_x001C_PÖ4Ý6Áb_x0015_tYÕw_x0017_Á_x0012_»î¿_x001D_^EÁïý¦¬­HÁê_x0018__x000E_jÃ[BÁ_x001C_¹+_x0016_æ_x0006_Áìb|¹FÁ`$_x0001_äóØ@ì_x0012_ï}?p=ÁÒ	{³_x000F_(Á_x0005__x000B_O_x0015_î_x0018__x0004_&amp;ÁcÊÁ¾wTCÁ¼Z*L4Á¦&gt;XäkJÁô
§®/Á±²ì1l_x0019_Á_x0006_g	ÍÆRHÁn[`û)2Áâýÿ¥×=ÁñýÐïOÌ2ÁOí*ª®µ#Á&amp;Î_x0004_Íþ12Á_x0003_OØCÆ_x0017__x001A_ÁwÂúX,EÁ¦_x0002__x001E_a¬_x0005_@Áäç&amp;_x0005_^Û;ÁÌ¯0=_x000B_RÁÎ_x0007__x0018_ñ`EÁ_x0014_kñ¹@ ÁÛu 8_x0008_ïGÁ'ü|ñt5Á_x0019__x0002_Eì*LÁ_x001F_vûëô_x0014_Á¶ï·©¸2ÁlJwXáBÁîÐ¥ Öp@Áºfv?ó;=ÁEÛ2á~:AÁH¬vÏ5N6Áü_x0001_ª¹ï[GÁ_x0005_Qé¡@)Á÷Ò_x0005__x0008_05ÁÚjß'_x001B_MÁM _x0003_Þ=ÁLvÇ_x000B_¢0Áú_x0010_h_x0018_r6Á8_x0007_qo-Á_x0004__x0008_£¡q¡=ÁDö_x0006_-v3Á.h¨m&gt;Á_x0006_ØkÏe1;Á¼¤_x0018_ø_x000F_&lt;Á¦_x0012_wà8ÁÐè÷wt5Á@JLóö´û@S_x0002_½å*Á¤¹Gâ¦3Á®Ñ8_x0004_ÅAÁ_x000E_îÄ#tKÁ,_x0003_çç5Á¼í QàK/Á_x0006_r*_x001E_wGÁÄ[ð_x0011_G_x0018_?ÁD¸Ûàê× ÁWó_x0013_Ë_x0006_EÁ6´$!~½?ÁaèW_x0011_CÁí_x0006__x0015_}&gt;7ÁÜ_x000F_ÿ(YDÁ¬K·÷,_NÁªT_x001E_qdC4Á_x0001_8\Ã%IÁ»!"VFÁ_x0001__x0007_ÇQ*_x0006_MHÁùC_x0004_Å6ÁÛ t¶2ÓBÁNÏ_x0015_BÁ)§âÞÎo6Á_x0013_»Äój@Á¹`9½M;Á¹_x0010_-Ë_x0005_KÁæÕ;h¢FÁKè`_x0012_1AêÍFÁ&amp;ßGw»*Áñue¡·4Áa¥_x0006_ô&lt;`=Á\é1p±%Á_x000C_Öðu´_x0016_7ÁR_x0010_ÂïÄÎFÁÐàqqô&lt;Á_x000B_Q_x0002_CÁKuª`CAÁú_x0006__x0001_ù&gt;ÁÎ#ÑÏ³[AÁV%_x0005__x0010_¹3NÁ­Þ	Jf®BÁýöX_%¢0ÁÊÄrh:HÁ=c+é+_x0015_AÁ_x0019_ÂæK®_x0001_CÁà´Z_x0012__x0003_ö@¿&lt;_x0014_^!ÁN_x000B_RÍ«×@ÁÈip_x0003__x0006_03Áó®r¶s_x001C_0ÁOnùØØAÁô®&amp;_x000F_Ïi2Á_x0017_ÕTÈ¡:ÁxçñÎ&gt;ÁÞ«òçÒLÁ¢³_x0018__x0005_;[0ÁØòÿ·ê=Áº£Ø(¥AÁüt¢ß_x0002_þ4ÁºÇÏòPGÁ`ïDQÑÀH_x001E_ù;X?=Á_x0019_ÂÊ_x000B_&amp;=Áa_x0001_÷xM_x001A_ ÁP_x000C_\þ)V_x001E_Á«ùÇ¼·é@Á¸·HÇ-_x0005_8Á#1v¤ÅAÁ¤û_x000C_]º9ÁàúÖ#9ÁE¤O/`%Áµå8_x000B_ø0Á&gt;|_x0017_/Á°¹ªýÉÀäô_x0010__x0011_Ó&gt;$A^NÖõé:ÁXx9þ}cIÁ×À®_x0004_2Á*Y-Rl&lt;ÁAJW&lt;ÍHÁ_x0001__x0005_´F_x0016_¤\:_x0017_ÁìÎ-?_x0002_uLÁÞñL Eà=Á,Óö_x0015_dDÁ^Ï«ä½ø4Á_x0004_ß_x001C_1[SDÁt®§H±j&gt;ÁD"%ÓôAÁ²ò5_x000E_FÕ/Á_x001B__x001E_É_x001D_²b7Á.A¾Ç_x001F_:ÁíM³_x001F_E^8Á³ÃLE Ahöû"¤_x0012_=ÁÌ_x0004_U½@ß5Ák±´@eó_x001A_Á_x001E_.ë÷úc@ÁÀÄê¾1Áï_x0017__x0018_Á!¤å=4BÁX¬©¶Þ_x000C_6Áw/áù;¿JÁË{³_x001D_\DÁ_x0010_8_x001C_É_x0003__x0016_è@{¼Hµ,Á(¯ñÿ_x0004_2Á_x0008_ Iú_x0017_;Á¸M87°:ÁXÜ|M_x0014_9DÁå_x001C_]ÆIÁ_x000B_}iM¾EÁ_x0004__x0014_c_x0004__x0006_,x@Áê¢×(_x0016_6Á5ý´`HÁ_x0008__þnG¬9Áf_x0005_Mß=ó8Á_x001E_i_x001B__x000B_*&lt;ÁòxåS]n&gt;ÁU_x0013_LàbrGÁ$¿Æ½`#Áä_ÑÕ_Þ_x0003_Á³_x0017_²¦HÁÕ6}wÆ;'Á_x0013_PÞÌ)~EÁìºit.Á_x0004_£Æ*»­@n:¯;Át5³ö}ë:Á5²PØÚ_x0018_EÁ¾ä`_x000E_m8ÁÖ?1ãH_x0001_GÁÁ	-SèU@Á^ÕdZ]®_x0016_Á¦Ür&lt;/@Á_x001C_{l'_x0002_q4Áp&lt;%30Á\Dä_x000F_¼(KÁ°¤_x0012_±|-Á½µØuiÀ4Áz_x0013_ðV$õ,ÁÁ_x0019_¸Ì&gt;Á$Ì¢AÁ!Þ£_x000C_Þ4@Á_x0001__x0002_íGG`ì7Á!1Ã½JÁù-Ö(VAÁÀ¬_x0011_ÃQ;Á&lt;ìH_x001F_1ÁºÉj×ë1Á_x0010_Ñ_x0018_hû]%Á6_x0004_+3k60Á½ë_x0018_OXÜMÁ_x0015_p_x000F_Í$AÁ_x0012_¦WIªÔ?Á©x`÷]_x0012_Á0_x0005_©6ó^9ÁB_x0015_©_x001B_ïFÁ_x0014_¯K7ì9IÁ×ü)_x0008_ôà,Áð_x0003_l_x0008_	.Á^á7[*Á|]´_x0003_ü/Á_x0003_,Û_x000E_©HÁ_x0011_ív}_x001A_õ:Á}@²_x001A_?2Áíp4sVFMÁ^­ÿÜJFÁö¤Ã0Á &gt;£Òç8_x001E_Á¡?å`áÓAÁÕ¿g_x0013_3ÁcÈ¤R»÷;Á$Nÿ¢o­=Á â_x0016_ÅzW,Áñ_x0010_F _x0003__x0005_çMFÁ|oµ:cò'Á$Ó/ç*Áðô½é'&gt;Á7¥uºr@Áñ½× HÁ³~óF_x0003_BÁ0R§_x0015_àCá@&amp;
_x0006_0_x0019_Á;_x000B_%,¾C!ÁpUöÐ¿æ8ÁÀ_x0013_Í!n6Áf:Úz P-Ák_x0010_¨Öù«!ÁÞj­ïy!ÁãÐA_x001C_ÄCÁÌÜÿ©ß';Á_x000F_9ÇaÖÒ-Á8ÆáU½DÁtÎÿ6_x0004_i3ÁPü_x001D__x0018_T	4ÁlÙÙöüp.Áàÿ6s(_x001F__x001B_Á_x001F_¸â¦3Áù5Íåà_x0015_5ÁÞ;æÀk@ÁÚÕ}nU©FÁ_x000F_èU¤_x000F_6Áî_x0002_±m¡Í+Áºo2­ë1Á²ÕqÚ_x0010_1Á¤_x0001_ÎPÐ1Á_x0001__x0002_\RÉK_x0001_©CÁÆ=iªð]FÁL:Â_x001E_}34Áà£osªÔ&lt;Á_x000F_w2Þ&amp;2Á_x0003_M«ü9Å8ÁzIRKÁ_x0002_gdæ_x0014_½5Á| eEOw6Á_x0013__x000B_Ò_x0019_Å1@Á_x0005_¢ã¡_x0018_,Á÷ê(vM%Áû±Ãe&gt;ÉGÁ. w_x0011_¨ÈMÁ,ÃÊËBÁ8&amp;ªä¿0_x001E_Áh¦×ÀèðÀÀhéwA=Á_x0008_iÍ¹&gt;ë.Á"ùJ´J56ÁLÓAâK7ÁèÙïÚæ8Á_x0018_Ú²ÎÉ'AÁÚvà¹9Áj1EjC=Á G#ùÛÉDÁ:.öÜ_x0004_¹8Áº¶Ñõ¿=Á_x000C_Ò,Ù_x0005_ÁÄæ_x001E_ó/3;Á_x001F_:`9P­*Á¼§
}_x0004__x0005_s$3Á2­1Äò^BÁ¨$_x0010_
_x000E_	Aß_x0018_¤ðÀ#à×3DÁ&lt;hG[²BÁ_x000E_¿FÐ_x0016_0ÁÿÝ ü0é@ÁdðÄ_x0004__x0002_/-Á#p_x0003_\_x001F_1Áölá:_x0019_NÁt7Ò§ØFCÁâÒ,O%3Áý\ÍîMS6Á_x0001_Öa¿Í³8ÁXÙ¸MuúAÁ:J?%_x0011_Î&gt;Á/_x0019_~VwÅCÁV'blo-6Á_x001E_&lt; 0ÁrSä5â÷4ÁLF¬á¸é;Á»zy@5ÁYà_x000B_ür_x000E_@Áb=e&amp;_x0004_®&lt;Á_x0012_ÆùÎ'Áú*ïû9óEÁâÍ)?Õ,Á³£|úÎ EÁæ¶íÍæ&gt;Á_x001A_;_x0006_«Ö-ÁúÙpÈâ#FÁ_x0004__x0007_xÝù¥Äß_x0002_Á_x0003_P5(þé&amp;AF5Ë½.îEÁ kÁH÷yAÁ?¯½_x0007_ÿ¬!ÁòV£e5ÁW³Äð9EÁ~_x0005_èY=Á_x0017_s)þç4Á_x0016_sI|z&gt;Á®_x0005_°Dâ¸6Á_x001F_Ì_ökZHÁÊ9_x001C_Kø8ÁY~_x0008_²|EÁ[ÃîºvvAÁÈGß´N1BÁµC_x0006_	ÄCÁàõïPº÷
A3î%ÍæDÁ¯«m_x0001_¸Þ&gt;Á"_x001F_Ëþ¯1Á?Qðé$_x001B_?ÁÐ¿HåµEÁ\¡w(?Á­opðÇ%Áùb»²K¼=Á²±H_x0019__x0006_FÁ`öòuÞýÀ»ùw_x000F_'3Án¶T_x0015_ÝG&amp;Á½_x0001__x001E_âmVAÁ.¡EF_x0002__x0004_Gâ@Á®_x0010_BÖ9ÁVÁãQZËAÁVë&lt;þÀ7Á*_x0019_¥×_x0001_º&gt;Á_x0018_à_x0012_3ÇM=Áþæ[_x0015_~u?Áí}údèEÁ-Lå§Ä=Á¿_x001E_Ñ_x0018_±é@Á¸æÙÝ)_x0004_/ÁRù+ç_x0015_â7Áº6@_x0013_ÛFÁéÞ¼u_x0018_@?ÁIôyº_x000F_-1Á®»¡¢¬âEÁzz__x000B_¦_x0017_DÁPB.Þ_x0019_¥CÁ¬©"ßcÆ5ÁØ9Æ_x0012_ät9ÁBª^&lt;£_x000E_EÁ_x0012_KÝ_x0013_Ü?JÁ_x0003_~_É+AÁÞ«4Ñé:?ÁþGÊóíf_x0015_A_x0018_3\O_x0014_1Áú_x0004_`-C×_x0014_Á Ó,çs.Á"Üm+_x0006_W7ÁÆ5ÜP±Â_x0011_Ah_p`²_x000C_Á_x0018_A,¶±ô@_x0002__x0004_Ó]P8Á«IØ~Ø,ÁT_x0002_ã_x001D_Ø5Á_x0007_»m96x_x0011_Á_x000E_McüÞ&amp;Á\GÄÿ_x0005_w3A©~S_x0011_Þ*ÁêWv1ÁÐ_x000C_;j_x000E_B_x001C_Á¬_x0019__x001D_Õõ@+Á¹ ^©/AÁ§Z§7¼»)Á0ûÅó&lt;ÁX_x001C_ª_x0017_ú@Ó_x0010_æø_x0005_A_x001A_õÄèóo_x000F_ÁJþ÷¹½ë:ÁKê4_x0011_ÂBÁñªú_x000F_&gt;_x0012_2Á_x001F_NÈWG",Át©óÕàö1Á,5­3AÁä¡åf2ù3Á$Íi_x000F_3ÁÐ^·Êïä@7'W_x0017_¥_x001F_ÁÍGð2óFÁ_x0008_M (_x001B_Ü_x001C_Áæ_x0019__x0001_¼9ÁÜ_x0010_i_x0003_mí7ÁôÏûÐ]·DÁÒJ,²_x0001__x0003_xÚ6Ád_x0019_1õ_x001D_AÁµ~ÉëUDÁ¤au_x0013_ØFÁ#ûI16JÁx1³åÌ?ÁÁa_x0006_½I¯BÁþm=1T&lt;Á_x0002_ò¹«?U?ÁÄ×ÀÓPAÁ¾ÈÂ´ ·4Á_x0001_XÒPþ59Á_x001C__x0010_Íê_x001C__x001F__x0004_ÁG@&lt;ýá8ÁX5BjÔ Á?¦¨AßMJÁæxõ_x0013__+&gt;ÁkkÿË_x0012_JAÁ9­íc_x0019_CÁ_x001E_p~wO=4ÁhjÍGI22Ás_x001B_Ø%@:Á¹¥_x001C_µ6ýGÁÂ·_x0003_sEÁið¬á«JÁx­_x000E_»)4Á_x0003_3¬d¾IÁ[_x0014_Ë·ÎHÁ8¤.GÐ}FÁ~Û0£)Á;seµ9¡;Á7_x000F_½¿F&gt;2Á_x0003__x0005_ 	_x001D__x0019_ºåGÁË_x0008_`+dDÁO§_x0014__x001B_ FÁÊP7ÈeBÁ\ÀÎ0è1ÁJIÂ¶_x0012_¢6ÁjÒî¬3Á_x0004_pÙÎD+#Á_x001A_e¨§*Á_x0013_ëËÂ%ÞCÁªn_x0018_¥=Á;2|_x0004_\CÁÊtõ{_x001C_Á²_ûÀP±_x001F_A~j¥
C_x000F_ÁO®Û·	&lt;Ám_x0006_O_x0002_3ÁÁ_x0011__x0010_Vö:Á,X¡æ¤DÁHÅ_x001B_u6¬úÀæ³Yîª4Áa^¾q$&lt;Á@_x0010_Û]_x0014_"-Á=¡_x0001_Ø_x0012_CÁ,T&amp;ô.;Ádè4z_x000B_)6ÁdôÌgÓ=Á¹_x0011_? Á}ô¸Cm_x0015_ÁÛfìß,Á§6¥ë_x000F_eDÁ¼ùi)_x0001__x0004_^I7Ák_x001A__x0016_ÔjGBÁ´J{CÁè4¼Àðé5ÁÃ´¡_x0004_FÁn_x000E_Þ_x001E_Á&lt;ÁÄÇô¹C_x0019_EÁ/1Ýò£Ø2Á*±íai%1Á`é|·y0ÁÒÕ«3PBÁº_x0010_&amp;Ï_x0003_&lt;Á¾Ù2FýBÁ2'_x0005_©»ü2Á(h.½í6_x0019_ÁæÑ1Ð_x0017_CÁ_x0002__x0016_ç*0Ál&amp;f¯àä7Áõ_x0006__x001E_ÏBÁNsmòÓCÁ_x0011_&lt;W_x0008_ØCÁ¹eÐåqS0Á\ë9{@ÁË_x001D_«Õ¨uHÁJÍ²¦IÁz¯hP3õ&lt;Áùßé_x0008_?ê6Ár¦9'¾2ÁtèPk!Áåî«½s5CÁ|ç_x0018_{_x0017__x0004_:ÁrCYûJ0Á_x0005__x0006__x0011_ãWWU¦FÁ¬1Û_3Á_x0018__x001F_«·_x0001_:Á"ûï³ê4Á_x0007_á3I²1BÁÔ¿&gt;ð@DÁ._x0015__x0003_%:Á\_x0010_W_x0010_?Á¤_x0018__x001B_ré;ÁµWY·Å¹ A*_x0007_¬1þJÁ0ïë;_x0005_$Á¤PÕÊðuHÁ/;_x001C_ÑLÁ¬CòÎ&gt;ÁX¥_x0015_þ£ìþ@öv4{6AÁú¢äÍ_x0017_-,Án(£åMÁÏ_x0013_Ã¢_x0003_x6Áï³ó_x001B_ÆQNÁø:£¸_x0004_BÁ&lt;wÈg¥_x001A_@Á´¦Ëº¦:Á£hdÿ÷EÁV°ì_x0001__x001A_ù2ÁM_x0012_L_x0002_»?ÁR_x001A_»ZGÁÔ¬°¸ÛïIÁTóUÔg ÁkQ½ HÁBã_x0010__x0001__x0002_Z7Á²_x001B_Pj_x0018_.ÁÄ^_x0018_ß_x0015_Á_x0017_¾óO´%BÁÎ0j_y&amp;9Á!t·3êFÁY_x0013_.ÿ¢@ÁJëyÏ=z&gt;Á,þÄG+_x000F_FÁÉ_x0018_XãËAÁQ_x0008_Õµ=DÁçÆ_x0006__x0003_ÓzIÁÈMíÖ_x0006_à6ÁQð¸¹¥^1Ádªù6âIÁ_x0008_Å_x0018__x000F_:;ÁM'ä¸S5ÁÖf8KÁàÚîñù_x0014_4Á¨µ¾Í	¬/Á§[^Ó_x0012_41ÁMZ$ _x0013_)OÁðú±Ì@1_x0011_Á_x000E__x001A_&gt;)¨AÁ¾G¦/Ùû5Áåp÷®ôAÁè_x0001_ÄôIv2Á^_x0004_q_x001F_3Ù6ÁG±º)I}9Á¼])%ÑM1Áä_x001D_ê ÁAÁ®_x0019_f
FÁ_x0002__x0004_EbI­Øè+Áæ¶¢°0Á_x000E_,¹R»ùMÁëg°ò@ÁÎª_x000C_&lt;®*.Á&lt;2ÓÿÑ_x0004_,ÁúÚgù³:Á¶iy_x0003_E/ÁÂj:Í³E0Á_x0008_]0¾Qjö@ÎU&gt;]_x0003_3Ág3ó¿=ÁÜøðÑÀ1Á+ÀtSÉí)Á|«za'4Á_x000E_t16_x0005__x001B_ADÉÆg¿Z&gt;ÁmÆ4¢1k3Á_x0002__éDÀ:_x001D_ôW:nOÁ®P''R»4Ápb_x0019_mÝãÀ´»GVtÉ&lt;ÁÌ{po8&gt;Á«l°{#_x001A_8Á_x0010_\_x0012_àð®NÁ_x0007_'ñxö7ÁøÍ!ÿõ1Á?Ï÷´ï_x0001_5Á_x0008_4Rì¹Æ7Á_x0011_øæ~AÁNpä_x0001__x0002__x0005__x001E_@Á=fX_x0008_q6Á¬Á_x0008__x001D_Öt:Á_x0010__x0007__x0007__x0007__x001F_Þ7Ád%8¦R4_x0001_Á_x000E_¶ÝÌùt_x0007_Á´\_x0008_"AO={J5A9c­¯ÿDA_x001E_ÚZ}&amp;Á±_x000C_!Pì^&gt;AâÝÍ_x0014_y_x0015_ÁX«ë¥¼5A(_x0010_þxTà2Álë_x0007_ Jà0Áý£dQu5Á"_x0003_eÇº;Áz×_x0004__x0006_m»GAg:ú¨AÁ±å"«_x000E_)ÁÔFå-=GAQ÷Ëpät&gt;Aç=Z¿4Á-Ó+?{×.Á°'ª´h_x0012_9A¯3ýªT.$AÖ]"±_x001B_Ap¤_x001A_Wª_x000F_&lt;AÂüGd_x000E_î$Á¢T_x000B__x001F_T.Á_x000F_A,/Yö ÁY&gt;W\_x001E_6Á_x0001__x0002_\¾_x000B_s_AAä²ÈBYú_x000F_A_x0001__x0006_¾ú#ªÀL¸_x0004_×úÃFÁZâR÷í_x0013_AZWå4S#Á@­_x000F__x0019_ÚÎ@Ax	_x0014_õ#Á_x0008_Å8)cÆ_x0007_Á_x0012_Ü~9^_x0010_Á×³ÄÀTsïèz6ÁLN\È¼6Aó%½Á¼_x0011_ÁýÄ&gt;Pªc)A×
d A_x001C__x0010_ù¨!_x000B_EÁox ´  _x0012_Á±8õháä_x0013_Á¨ _x0007_µ%5AO
´í¸î:A@ßoY÷Ñ@_x001C_»É_x0005_Ç@A¸ÿtN­`_x0004_Á5wkµ.A­ú$9_x000C_"ÁÚ;.÷§Ò_x001C_ÁÖ  _x0017_!x&amp;Á_x0016_|*^Öá6Áa3HâBÁóÂÇ)9#A´_x001B_S_x0001__x0008__x0019_·_x0002_A8=&gt;Äå«ùÀ¿_x0002_Æ¶´ù8A[IßA~P_x001F_Á®_x001F__x000B_z_x001A_AJ,_x0013_¿ú_x0014_A ÿF_x0015_Ø_x0019_A_x000B_ûÐÈæ"4Ábá_x0006_ÒD;AÊ_x0007_Z2*&lt;A\_x0001_7T_x0005_©7A-°pÏ_x0006_@ÁÞ_x001A_å_x0003_4h0Á¦d'ÉCú:A¾«_x001A_ïG_x0019_AG_x0012_;È.(Á&amp;.cuq;Á­_x0004_»T¯ÿ&amp;Ád-$qVö_x0019_ÁÒ_x0013__x0007_jÝõ1Á@Q;,$Ô@C/öøü1Á*Â_x0011_Tô4_x001C_AÒÚ_x000F_I±?Ag"Ry1_x001E_EAv_x000B_Åx42Aå-zhñ_x0002_+AÓ_x0014_¹_x001C_D¹&gt;AMµ¹} Á`_x0006_^@¹_x000F_AÍÌ¤_x0011_½_x0016_ AÙÙ_x001A__x0001_VÉ_x0012_Á_x0002__x0003__x0016_Ô¢_x0011_á8FÁqW)vU&amp;0ÁU_x001C_r_x001C_I+A_x0004_þ:ï_x001C_ï_x001B_AÐV¡EãÀ_x0007_ÅÓ0 Á_x001A_ó¥h©´+ÁJT_x0006__x0012_ß_x0015_AÌ4,ïÁ0Áã_x001B_ê_x001D_åÀ_x001F_xN%"AýÙ^ÿÒO_x001F_ÁGMv_x000E_ÐIA&gt;_x0011_[|í&lt;_x0007_ÁZ_x000B_¿1j5ÁwrÙ&gt;Ápn^â_x0014_ö@±Ä4q_x0013_/AÀ_x0010_iÇ3ABVÿÑ­6AX_x0001__x000F_Hñ5ú@Re}Üë3AX	s)&gt;A_x001C_ÃF&amp;ÒÎ6A_x0002_w@nX&amp;0Ap7Ê_x001C_)-.ÁÊ+ÿªtI3A_x001E_vmèNú_x0015_Ak¯«]*AîÓWü_x001D_æ=A¬_x000F_Án_x0006_ª1A_x0019__x0003__x0004_¹!A°¶_x000F_©3A[Ê±Æ,h&gt;A_x0010_äð&gt;&amp;/_x0001_A²§i_x001B_Añ_x0011_c©,A]).H\'!A¿MICÁÀ×¼_x0015_aæÓ@_x000C_'j¿
Ð_x0004_A0Ï8p1Áæ_x001F_må_t_x001B_AüÃ_x0015__x000E_*ÁÎ_x0019_}Ûå_x0018_AÞ_x0002_Ãµ_x001A_&amp;A_x0013_ÆÊÑ°_x0019_Áôz¯HÀ_x001E_A_x0003_9Í:QLÈ@¢ly_x001A_'V/Á_x0015_%W²á5A\UÉÎäa0AlÝÜ¾~	Áíh3_x000F_H
0Aââ*Ã©@3A\!s_x0013_m-Á¡wL_x0004_×±$A_x001A_Ï~	º@@Aª ¸²¸)Ár?_x000B_Þ~CAó§Àæc_x000E_,Aþ*´é_x0018_AÂ_x0016_ r K!Á_x0001__x0005__x0002__x000F_ïOd43A À^Ê.áÀÄáð|Ì)Á4iµQF!BA¸qp~¨Í&lt;AÐ_x0017_ù¶Go0AÙR_x001B_Æ³\LA_x0006__x001C_p_x001F_Ë	3AáR_x0011_àÖ8_x0010_ÁßÄ_%'Á®(Fýô;A²íPj_x001F_Ú&amp;Á]	{È\_x001C_A_x0006_'8½ª19A&lt;n_x001B_gJ_x001F_A±ðfB_x0006_BA*ÝT_x0010_T¡3A³_O	0n5Á_x0010_µç_x0010_ìô@tl_x001B_¡úý@²ÅO_x0016__x001C_7Á`¸DI_x0014_Zï@iÇÆÔo#Áµær_x0019_ç7Á¢í_x0004_Ã%Ï_x0011_A&amp;_x000F_î_x001D_%4Á*»nQ5à_x001A_Aé)Éêk&gt;2A¼¾w:_x001E_¯&gt;AÄ!_x0003_ôì)A²_x000F_vÙ
Á_x000C_lã6_x0003__x0004__x0010_
8A¨ Q\1Ò5A¹UC¯(AªGí¿_x0006_[_x0017_A÷-×¥_x001F_¹@®³'ÏM1Á*·¡Ð)ÚDÁèÉÊv|_x0001_;Áñ-³Ë=_x0012_CAH¹%m_x0002_A¦*H1'_x0018_=ÁÀ_x0005_e5eë@Üç#\_x0013_A©ö¶_x0001__x0008_ì A~_x001F_Íg`_x001B_AQ:ô\;_x000C_-AÆ^yÓ(û_x0010_AÐ;;_x001F_M\6As4 ÅeÍ:ÁtWK xÀ_x0003_Á_x001E_ß&gt;h+º-Áú¯q&gt;Ô	5ÁÐ]Ì¾_x0014__x000F_A.²M_x000C_×!A÷_x0017__x0011_{ñ3AHk¸Ó§z_x0005_Á_x000B_3_x0005__x0005_å,AS._x001D_Iùt1ÁÒ7?ê3Á-|8½_x001E_O_x001C_ÁÅ±Àö("ÁýÎÿâã±EA_x0005__x0007__x001C_Uçuö_x0008__x0002_Áh¬æ_x001B__x0004_Ô6Azã×~	$A%¼_x0007_7Q£ AÝõÆÑ7:Á0Iìò_x0017_t;Á¾¾ñ{7A4¹Î|È'_x0003_AZ¥³Yu¸@Aþä_x000C_û»&amp;Á«2êî&lt;î_x0017_ÁôL+ü_x0005_AÏwä_x001E_¶ Að$·_x0001_K@ÁÎéªGt0AH'ök³Ê_x0010_A0+P_7Aü:Å_x001B_µ2Aè\)5AöîÌÔ&amp;A¦çFeõv0A_x0005_3_x0006_¢§ë@x¦×ý%ATª¡òå25AE¥FY.A_x0005_-ánV£6A_x001E_Uú¶x_x001C_A
½b³ìaDAí)	þ/BAú!Ä_x0014_rZ2AH_x0007__§Ø4&gt;ÁO³_x0005_°_x0001__x0003__x0005_æ$A¼Ó_x000F_Æ&lt;A@Ëí6xß@KZÕãiå*A.1q»õ&gt;Arhg_x0019_/ÁZê'òÐ_x0011__x0010_A_x0001_YkWøâÆÀ×;?éH/A_x0001__x0003_véý_x0001_Â@ì4_x000F_ÄY[_x0007_A_x001E_Ã#_x001F_Ù_x0016_AUe5-_x001D_ÁÃ5âÊÃVPÁF_x0007_ê_x0016_&amp;8Á_x0004_ûVíV:Á_x0003_«Å&gt;	2"Á(_x0016_q"\¾üÀ²Á«_x000B_ABAá£Ö±5_x0016_ÁSä1½ó*AâU_x0008__x0018__ç.Á­Ü4_x0011_¢l#ADoß­G6AºU2Ò65Á.-«ØN_x001A_A_x0006_á¡Ð(3_x001B_AX_x0005_rc¶Ý
AbWöp÷_x0002__x001C_A£_x0010_pûÙ:Á\þ§_x0003_âc_x0008_A0£_x000B_Þ­3Á_x0002__x0004_ìÔÒ'_±?Áèå5õµ06Á¼:&gt;º¢_x0003_A_x000B__x000F_ÉS&amp;Á¤_x0016_3Iô_x001B_Á«(v__x0006_18Aì_x0013_ù£ÝÍ%Á \Za_x0011__x0007_A_x0010_8LgÒ'ÁT%Xv+µ3AdvÒÜ_x0001_~_x0001_Ám°¤øË?Ab_x001C_óqAÁÀõ_x001A_^­ëÀÁké_h5GÁ¢3O_x0015_lí_x001F_AÆå"6ñ¥9Á¸	4í¹G_x0001_Á_x0018_6O_x0001_CÃBAÂü+a£_x001D_AØsui2_x000C_AÈ	{v$§_x001C_ÁkÒ_x0004_Þ6A)%j&lt;:,Aå$^À_x000C_KÁÒåk7t_x000B_&gt;A²a_Â_x001D_8*AYpÐ_x001F_+A÷C¯XI ÁV¿$_x0018_d4ADSÚ
!°%AðÌsð_x0001__x0002_ /ü@w+zé6$_x0014_Á²äFí5(&gt;AWJ´LMÌ%Á#&amp;Ü:ØXAA|_x0015_µÁ_x001A_)ÁHÙã&amp;oÄð@,ÿ\éI1A¯H¯*_x0014_&amp;Á0:Ä°úÃ$AÊ|ô/²2A!ul_x001A_#ÁÀEcî3A°_x0018_ø_x0010__x0005_£*Á6ì¥~:A_x0010_²Ô~Î_x0007_Aòë[,*AºÞö°RAÀdÞ_x0016_??!Á¼_x0019_ùfÖ]_x001C_ARÐç¹Mb:Aühlqm1Aï_x0003__x0016_l_x000F_¬BAIsÏó=_x0011_Áªô_x0016_÷¥Ä8A®¢Ç*¶_x001E_AË¸_x0018_ÝÑ&amp;A§·âó$Ab¯Ü_x0013__x000F__x001F_AÐ½ûR5Á&gt;E£_x0017_»È1AÀ_x0006_D_x0005_*_x0018_A_x0001__x0005_Fkñ`_x0004_lCAÛ_x0008_sØ_x001F_%A_x0013__x000B_s_x0002__x0007_6Á_x0005_I¯_x001A_pSLA¸BýJEÁá÷·C4ÁÈ"D_x0013_²4Á2~»z9_x001D_A_x0016_q¿g_x0008_WGÁÐ_x0001_@¿ÌåÀõCò&amp;A¥Êë4*Ae§^¯§t Aëëµ´R:Á_x0001__x0004__x000F_¿y))A¬±tx"C_x0014_Á2 ¬¯(_x0002_ÁÂ_x001A_@=ú;Aø_x001D_la	e:A&gt;¦LvBAk!6Ù¿2Á_x0008_í³´ûÁ0A¶!òW_x001D_¹_x001D_Áäµ/ñLÁ:ì] ¼_x0002_ÁÿÍÃðúj/Á[;_x0015_Á@,.æc9_x0004_A_x0001__x0003_±æ¬=ñÀ0FÂL7L_x0007_Á_x001E_ÚNûÉ¹_x0016_AÆÓI_x000E__x0007__x0008_øë8ÁÈ_x0012_,T~Î_x0007_Á«._XR,ApsáSçÀö*Yöc4Aöà®]/3A¦âÖ÷8a4Áé³H`³$-Á_x000E_GeLÒ®&gt;A_x0014__x0013_eàø_x0003_AÈYMDÕr_x0008_Á_x0002__x0015_dî¸2Aó_x001C_/yÁ&amp;Á¬_x0005_Û_x0007__x0005_d0A¸o_x0006_üw$_x0013_A{dô_x0014_Ù %A+_x0002_Ø_x000C_¾?%AäfxÕ_x0002_Á_x0008__x0004_âg?ÁØß
£D½_x001D_Áfw¥Ã-A°í¹íEÌ2A úµ_x0001__x000C_½DAýu»:y'ÁØÖR_x0011_OAk&amp;!_x001C_;_x0003_Á~ØÈpn3A_x0006_:$¿~» Á_x0007_wBe°Àôßø^/¬0Á_x0010_&gt;Æ]mïá@êí+ÃÂØ;A_x0001__x0004_£O_x0002__Ñ %ÁÎ_x001E_;Ôø*AÔ0p6ñÏ=A].^©ç!Aäºìí_9KA_x001B_|åI+Á^I_x001E_	®_x001D_A³óGââ_x001E_Á_x0014_××Í._x0004_Án°_x0018_¡ã5Á0^ÍWCøðÀPùá§
DAZ],0f_x0005__x001D_A_x000C_àÝ_x000B_2ÒBAR¼ÌpÖÛ9Á°_x0011_µUËàýÀ_x001B_ßO.o_x0015_IAAqóí§!ÁÕ&gt;	&gt;ü:3A_x0003_òIÅÙ+AÐ©YÂ²W(A$\xW_x0019__x001C_Á÷Âç*æ_x0013_A¼fNA¿_x0011_2A¬ûÕø_x001A_4A°À(Ü£"A¤arÀ#ÁÿI_x0004__x0006_]³8Á_öy}_x0006_1A&lt;Ï_x001B_Òý_x000F_Ap
ol±ìÀBÀo_x0001__x0005_Üm*A_x001E_zî{Ì1Á$kbZ³ãGALÌ×Aù%ÁTáÍ_x0014_×&gt;AÜ" ùu`_x001C_Á´j^^q_x0014_A`fy¦9(1AJ,Í_x001D_U]_x0008_ÁòÝtö[y&lt;Á¥Ãüó_x001B_Áä1úxÌ¡4A¼bå!Az¤ÉvãÿEÁ:JÇÈP_x001C_A¶±ÖuSe$AÆ­º_x0003_¼#_x001A_AìiùwÆ4A"_x0008_@²Åc_x001D_AâÑëî_x000B_ÁåLLÝPA_.2FI"Á_x0016_ÊO0Ýè1ÁDU¯éÅ«;AXÿ-¸À_x0002_A
Nò)_x0008_&lt;4Á@Ñ°:ËÀ¸ª Æ_x001E_¥ÿÀ_x0014_HÞ_x001C_[ý_x0004_Ar®+?v_x001A_AtVYøÉAA°³d_x000F_º2A_x0005__x0007_bö¨_x0012_XF&amp;Aê@vEÿË8A&lt;ß_x001F_/_x0007__x0003_AÿÉÎ
&gt;$Aà_x000E_åP/
_x0018_ÁÀ}di1AüÍMuür#A.â&gt;lÏl8ÁDNmÉ_x0011_ý@_x0002__x0002_ÍË*´3ÁÍ#_x0018__x0019_Õ)Á9®·ÞX@ÁàZ8lV¹_x0016_A6_x0006__x0014_^_x0014_1ÁÄºµÕÈCAp¸?#þ[_x0013_A_x000C_jçm*A_x0006_î_x001C_kk_x0001__x0016_A(ô0å_x0014_GA@¦ÒGmè=ÁÄîF+«+Á`?Ûø&lt;Õ@¿ð_x001A_ü_x000F__x0005_'A´ÅÈ_x0005_]_x000E_AÍ|À¬7&gt;AþÛÄ_x0005_F1_x001A_Á_x0004_ÜÏ&gt;s«_x000B_A=w±ÛQ_x000B_Á`£_x001C_:ÊEâ@Ä9ò±åÍ_x0017_AóñU«?	4Ápk0[_x0004_	%LìÀ8xQ_x0014_j\DA¢©§¬$Z*A-ö£_x0002_»=%AÐ,sjãÀ
»%A@s½_x000B_c_x0006_Á_x0008_~;®_x000E_"Áb_x0014_b_x000F_~1AâÐ_x0014_,+FAH-BÓÈ_x001F_Apt$jcÉ6At¥þ;_x0008_&gt;Á[pöp
3Á_x001A_»ãQ_x0003_¯_x0014_A_x001B_Ô,õm,Á_x001F_bBsW_x001A_ÁêNNQP?A¨Áó_x001B_êÙMAâ_x001B__x0006_â¶2Aq3!Þ_x000E_B/A_x0011__x001B_Â=@A^5ë_x0019_é@Á~WØì_x0019_AÞ_x0001_Ðª :Áæ_x000E_x­K_x0011_Á_x0018_j&amp;Çæ&amp;ÁÓÖ&gt;v_x0005_c ÁNbÄ_x0006__x0007_Á±|(³#Áþ±M¤_x0008_4A´,³*4A_x0002__x0003_÷Xb¦¡_x0014_/A¥Í_x0013_* %A(
_x0018_F6A _x0019__x001A_£]ë@´ØÜ§CyCAfz&amp;Ù_x0001_/Á±µÉX! ÁÏ6"?û_x001C_ AVKfç´7ÁY_x000F_1"Á_x000E_0ñ]¿9Áðµ«zFò@Ô¿Ìwú8ÁTqAªç4Á_x0003_¡íX_3AR_x000B_ä_x0007_ãùBA|±_x001E_Õâs5A_x0007_x÷rð6ÁÞ_x0010_»þ+;Á_x0004_h_x001D_áªN1Aà¾J°_x001F_ßÀöÝäþ_x000F_-Á®_x0001_&gt;r8¦8A¨©¶Tç|@A²×³Þj×AÁjm· Øê7Á¢£¾C ,Á_x0018__x0014_&gt;Dþ@ _x0017_Àÿ1+Á»U_x000C_¥q3A^dt|ÛÍ;AÉ_x0018_Ã_x0001__x0008_F+AÀKµ÷_x001E_è@_x0003_«_x0012__x001B__x0015_Á(ßN×^£,Á@º¦
&lt;Ì@¹÷ê°GM#Á"_x000B_u¨ü_x000C_JAÿaõïÓ GAv_x0002_Î¤±ßFA0|_x0007_lðÀòÊ©kÓoSAcfùP§_x0018_Á±7"Av[_x000B_úí&lt;Á*A]7ç@×1é_x0011_'A'PMÏ_x000B_ÁJÏÔ%Á?Aê²5E[÷@ÁJÃAÖõ1Á»ÝÑ±µFA§_x001B_·Ú#*Aþ²A¯"A_x000C_Áä_x0004_¸_x001F_*_x0008_IÁ_x001C_êÙÀ¶;ÁHÅv¡Ùµ1A0ðI/ =A_x0004_ØqtÕ_x0006__x000E_AH@_x001C_b_x0005_¿ÀZÔ_x0016_ã_x001E_ü_x0013_AÃiëxç!A¤À¢¶þæ_x0016_Á_x0002__x0003_¶:ð\|_x0010_:A¸£ù@ÁqI_x001A_g¥OAnÏwí5Aì¶52Y¼;Á_x001C_Ç¾ÁûÛ_x001A_Ag_®KA/A	ÊÌzª0Á_x0010_=Ö$Ü_x0011_ìÀ`â?ÏGÝ@Ím·F¬$An_d_x0001_v_x0018_AlC!îä$A¡_x0002_u_x0014_7g2AOßþ_x001B_:Í;AÔ_x0012__x001A_ºÅ@)AªÇÐÜ_x0015__x0012_ÁbÆ!(.9Á²ü'i_x001B__x0006_;Aô±µT_x0019_,Áròy%_x0017_AÐ¹¶4ãÀs=ªË§*A¯ $±&amp;AæÊÛ^BÁ_x0002_¶_x0012_AÕÖðÀÐò¸òX.0Á_x0001_É_x0001__x0014_%_x000F_ALòN_x001A_s0_x001F_ÁPNz3\2ýÀ3À·Õí0ÁðT_x0003__x0004_k2è@7ÊÐ§×_x001C_ÁÀàp+Å°øÀ_x0019_ô_x001C_kb/Ajù_x000E_3Ù:7A1³X¬&amp;A=ú@èBEAIT_x000F__x0008_â,AÄ^_x0011_Ø_x0012__x0004_8Á_x0008_'³o_x0005_ÁçÅL¦_x0001_x5Á:ÈUP8hBA_x0003_@4wÙh@B_x000E_Ô_x0013_º0Á}_x0013_9'Ïk+ÁÊk^ó·=A(¥_Y¢ÿ@,cðàÏ&lt;*Ádb¨S_x001D__x0002_Aba'JÜ8_x001C_Á&amp;Pûò=º_x001A_ÁäVÐnX@5A¼SÐFÉÖ3AÓH¯VBÁ®4Eox?(AôH1ó~Â_x001F_ÁlÑj_x0006_uD"Á_x0006_Õ_x001F_°¿DAñ
ë¶-A|_x0003_Ç_x0014_+U,ÁwQzÃÝ_x000B__x001A_Á/SãÐ16A_x0001__x0005__x001A_Oq_x0001__x0004_õ=A6 bðP Áº&gt;¯Ìvw_x0016_AÜÚÒ³7AÂP¢³B8At_x0013__x0015_Ò¤J_x0002_Au96S+A¦®ÐïðJA_x0001_ÌÃ¢ít4AH°¨ê9)DA§æ: !A_x0011_ÜëÏ_x0004_?Aô#Ö_x0005__x0017_Aøw&lt;ÃT&lt;A"ÑsÇG+Á|_x0018_	&gt;%5A{:hÞ#ÁyÉ¡µ$Ád_x0003_øõ¤:AÌ&amp;ï´&lt;6Á_M|2)ÿ+AcÎ®¯0Î_x001C_ÁÿüMÊÊ!A48õ!ÛO_x0011_Á~TÑ_x0001_Á_x0012_;Á_x001A__ 7_x000C_O-Aâãú_x0003_úÜ8ÁË¼Zw,A)ü"¡ôH"ÁNÿ_x000C_+îº0Á?_x001B_X_x0007_:AÝò¦_x0006__x000B_.a1A¹¬_x0001_üb.ABY^AÝ_x001D__x0016_Ad¢.eMYBÁsïm_x0018_«DA*5DÙÏ.Ál¹\·¯"_x001A_Á_x0004_b@á¤¾5ÁXÞ±¸à21Á_x001C__x0013_÷~&lt;A±Þ&lt;P_x001D_2 AdrrùÇh&lt;Av3ÒöÔõ/Á_x0012_b0²5Á¯Æ{MÙ4Apg_x0015_g&lt;_x0002_ò@Øoè&gt;_x0016__x0003_A¼}Û_x0014_Áè¿±_x001E_ V_x0005_Á_x001F_WaóQÿ,ÁÄe7ÏUÍ2AÊËúãæ/ÁCÝ_x0003_ø§z,Ah}¼cý+ôÀ_x0001_*JÚf_x0016_Á²"CPø5Á'úù_x0005__x0015_MÁ¤_x0019_DzÌv Árj~I´_x0010_Án+	Ùô)ÁÉ§¾_x000B__x0008_&gt;$A½_x0007_R{`J5A_x0001__x0002__x000C_æäk[_x0011_:Aó6ìÅ:As%P_x001C_)A´ÊT.B.1ÁDê23_x0016_%AèÑ_x000B_Ä_ _x0016_Afr&amp;z ¹&gt;A_x0003_gÜ%_x000C_2Áÿ]iV^(AôVÞsR
A[$&lt;xÀAAÞâ@n_x0001_Ý9A0_x0011_]
îY8AÎ_x0017_DD_x0012_A_x0001_5_x0013_9¼Í,Á_x001C_è½ºH_x0006_5ArÍçKÖ_x0002_ÁyÝÂæB.A2«'m%Áàh~AX9AX_x0006_I±D24Á"
v_x0008_Q0ÁF	¶2Å$Á¬õ´ÿt!)ÁÂ1_x0004_¹j`2A_x0014_ÇC8AAU§ëä÷@Aþt Ô¬Ì:AËªÙ-_x0016_K.AÄ6è¥CAô_x000B_#1Ì@Áê­_x0002__x0004_MS"Á;r} _x0017_Ál	X_x0012__x0015__x0016_:A~=_c;Á_x001C_|_x0002_2ÎÄ0A_x000C_d©C(Áiy~x_x0018_;!A6äGùa&lt;Á¶b4àÄ½7ÁPÖ¤&lt;aü9Á@_x0003_Rh^u;Á ÖpÌ·_x0018_Á/ÆäÖ9Á«Lz²ØÀ3ÁÝ\*^.&amp;Á_x0014_3Ö¤
1$Á¡F}*À2Á[_x0015_w\-ÁÎÐ_x0014_ÇT_x0017_A%/X_x0001_,A*?a_x0016_L+)Á)(s!þR+AÐÐRyøÕ_x0003_AÀ^+_x0005_¿_x001B_ôÀÜ¦_x0003_Íu Á(÷µ¬PAæ-ÝA:#ÁÆ
_x0011_OÔ6Aáâ_x001C_Ô¦5Au^ÖQ Á4{Í{§6AÝû·ÿE%A_x0001__x0002_ä½n¤_x0015_	AQé:;BÁ`µÿ_x0017_RD_x0001_ÁúúG^ù3Áë»tg}CÁ=G¾ø_x0018_Av»'_x001D_CA,Ä[I¢î:Áû¸6ÌàÀ_x0003_|l8Ñ_x0015_(A$bÛPzÍ&amp;Aö_x0016_«îÙ_x0014_Aó
ÿÏ?o=ÁÆK·~³5Av!½£_x0001_FÁ Cü¬-q7AIÐN8Á"§ý6_x000B_Á:±èÆ;Ë*A¨_x0014_VP_x001F__x001E__x001E_Á_x0014_^0ÝGA!Z_x0013__Ø!AP`¾!î/ÁÆJzÝS_x0002_*AÐÍ¡~Ìj5A_¹b¸[*Á È~_x0003_ìà@ªó¨õ$_?A;&amp;)Æ§Û_x001C_Á_x001E_Ì×Ì_x0014_AK1_x000B_(Ë_x0014_LAz²Ç*_x0001__x0002_#àHAq_x0008_&lt;¹\GA2R7/ïìBÁ¬Q*¶_x001E_ø_x000C_A_x001A_§Çôt_x0016_A+§×Ð_x0007_A6¿2Á@¬Òél^ñÀ¼Éæ_x001D_JAíp-_x0015_s_x0016_7A*_x001A_-_x0003__x000F_ÁN¤ãã)_x001F__x001B_AÆó¼'*_-A`õ?W«ñâÀ0¼ºâ÷2A_x0007_X_x0007_ëf/ÁTÝ_x0012_IOÁxvDlð3AÐ_x0002_\ì.ûBÁæ_x0017_Ms&gt;,&gt;Á_x0010_&lt;i	#AöÓ4?ßAA¶UoÏ1Á8®À«»÷2A¯AÕj_x0002_FÁ;_x0012_ÌPå8Á,LB,ó]?A»«6°¥u(ÁÇ¨ïÖ×H_x0013_Á¼Þ_x001D_­s| Á_x0004_®óíºð6Aè§â¶h_x001E_ Á_x0001__x0002_äöûòw#Aq3fÏ&amp;Aª¿[¥+ZDAî§ÂÿÀ6A_x0006_÷ÏQø_x0007_ÁÔâËmy^2ÁÖ8¼Q_x001E_5ÁmÛÅÞ_x0012_7ÁE_x0011_?\¿DÁô_x0001_Ü_x001D_~u/Á_x0001_ë4@±\í@tË_x000B_®W_x0019_ASC¬þHÁ\'0BÇ&gt;Á_x0003__x0007_KÚW*Á;_x0019__x0011_rá_x0014_ÁvàA*_x001C_CA'&amp;îÅ&lt;"A_x001E_)B$ëþ1Á©_x0019_Ogï7Áùfw¤_x0007_ÍBA$&gt;y_x0004_Æ@8AAËdÇ-AüDq[" ÁBêÿå¼ô&amp;Áô4XÁV_x000F_ÁHH_x0013_c_x001A_Á_x0004_çÖÑ3AÅô_x0019_uÅ.A/)Óe¢_x001E_Áîº_x001D_æô_x0013_8Á@»]l_x0002__x0003_ñ_x001B_0AÞ20_x0008_ð_x0016_Á_x0016__x0001_hdv:AEÏ´_x000E_Q¬1ÁV_x0018_º*_x001D_$_x001C_A_x0002_ÐÒD4AkgjD_x001F_Æ_x0017_Á°%_x0007_4iý_x0002_A®ëõÇ_x000F__x0002_)Á¾Z_x001E_Èpß=AxÛG«#ÁQ«Oï_x0012_"Aº_x000E_=§j1A EÛko_x0015_5AqD§c_x001F__x001E_Áõøï»,Ã%A.)õ_x0013_8õ@Å¨_x0001_÷Â1AMº¨çÖ*BÁ_x0002_i®«!ß¥À:{[É_x0006_6AJñW&amp;Á¥+@ËZAÁåÕÍý#Á_x0006_N_x0014_aR43Á#³ï7A4qÇþ¯8AÒp		ù_x0014_AÂ0ôõ(!:At½æõ+
2Aê$Áxw³_x0013_A§½ï_x0016_Ø*A_x0002__x0003_²Ì"ML/Á_x001E_Â¼`2_x001D_2A_x0010_t_x0018_Péï@îó_x0006_MP_x001C_9Á¨%®Ë1_x0004_Á¢_x000F_Jë0U_x0010_AVaN_x000B__x0002_2A_x001A_àxUOx$Á_x0002_MÜ?_x001A_·ï@zÓú«Û0AÏûül&amp;°#A&amp;v³0Á_x0004_ÐnÏîÀ_x0004_Á¦_x0013_s{r&lt;Aùu÷_x0013_q`GApóò*"Á\:_x001F_ñwf%ÁT|É_x001D_þNAK±jäNÇFADrçÖ0Á_x0004_dÓú_x001D_Á0±¦û_x0019_Ð_x001E_A£_x0006_ëáO)A_x0014_w_x0015_ÃÓ}	AªEÆª8_x001A_A,Yâ°ØBAãï_x0017_OÄn@AþI_x0012_ÊgLEAÝ_x0010__x001B_Ê_x0001_*/AW]Å8¡_x000F_%APò2"ÉDÁt:×V_x0002__x0003_jô_x0018_ÁR¢i¿_x0018_A`Z­·gV_x001D_A2ëRÛ1È8A!Eo"q*Aß#³þ	g%ÁÐD_x0012__x0013_õ2ÁT&lt;°ßéÑ_x0001_ALÀH0Aúz_x001B_fo_x0013_Af(_x0019_RfÒ(Áï_x0015_úD_x0001_4Aü&gt;&gt;Ü7Á¹Tøl&amp;Y&lt;ÁØ¹_x001C_&lt;'ÁÛBð_x0004_×·2Á_x0010_½l_x0002_v³_x0001_A_x0016_%_x001F_Âù_x0018_A%_x0019__x0011_|&amp;AjOån¥¥6Á_x0010_¨WmbCÁémY´_x0007_(ÁP\Xd&gt;:ÁH_x0015_­ò|V_x0007_Á_x0001_ùáÀÆ2Á__x0011_3_x000B__x0004_#Á$_x0010_Hô_x0019_]_x0004_Aì®sÞ2é6A}Y_x0002_#Ò/Á_x0004_=_x0014_}ê&lt;Aª46ï'KAè_x001B_Äw;A_x0001__x0004_dúVN&lt;c.Á¨V_x0013_höÀ,ñë_x0010_q4Áp._x000E_Á_x000E__x0012_Aè_x000E_ÌÑ¢:Aì&amp;ºD®&gt;A[XÃ_x000F_oì(Aö_x000F_ÈoÄ_x001D_:AÂlì·ñÖ&lt;Á_x0001__x0008_+
¬@_x0004_º2þöAÁìÿO(AAðô(í$A]Jp_x0019_Ù(AºoÉ3_x001E__x0014_Á\_x0013_heCY6Á_x0002_o½D«§_x001D_Á%xwÇ+Á_x001C__x001C__x000F__x0002_AN¢÷W;£4AJ&amp;ñáÜ84A!QÿzöÿJÁ_x0010__x0011_:êJ/Áè6¹@V@ÁâÊº$á_x0004_Á^ë_x0003__x0017_Aæb'öá0Á&lt;ýl(´ùFA_x0002__x0001__x0001__x0001_"_x0001__x0001__x0001_after midgation simu_x0001__x0004_lation wb.xlsx_x001F__x0001__x0001__x0001__x0005__x0001__x0001__x0001_Cover_x0001__x0001__x0001__x0001__x0005__x0001__x0001__x0001_Index_x0001__x0001__x0001__x0001__x0013__x0001__x0001__x0001_General Assumptions_x0001__x0001__x0001__x0001__x0008__x0001__x0001__x0001_Capacity_x0001__x0001__x0001__x0001__x000E__x0001__x0001__x0001_Aggregate Plan_x0001__x0001__x0001__x0001_	_x0001__x0001__x0001_Inventory_x0001__x0001__x0001__x0001_	_x0001__x0001__x0001_Logistics_x0001__x0001__x0001__x0001__x0008__x0001__x0001__x0001_Salaries_x0001__x0001__x0001__x0001__x0008__x0001__x0001__x0001_Location_x0001__x0001__x0001__x0001__x0002__x0001__x0001__x0001_OH_x0001__x0001__x0001__x0001__x000E__x0001__x0001__x0001_Scrap + Defect_x0001__x0001__x0001__x0001__x0003__x0001__x0001__x0001_HOQ_x0001__x0001__x0001__x0001__x0006__x0001__x0001__x0001_Office_x0001__x0001__x0001__x0001__x0002__x0001__x0001__x0001_IT_x0001__x0001__x0001__x0001__x0017__x0001__x0001__x0001_BASES _x0004__x0005_MODEL (Base Case)_x0004__x0004__x0004__x0004__x001F__x0004__x0004__x0004_Avg.Weighted Manufacturer Price_x0004__x0004__x0004__x0004__x0019__x0004__x0004__x0004_Purchase Intent and Price_x0002__x0004__x0004__x0004__x0003__x0004__x0004__x0004_C107_x0004__x0004__x0004_=RiskNormal(0.08921,0.008921,RiskCorrmat(NewMatrix1,1))*_x0004__x0004__x0004_S.1 Adjusted Purchase Intent_x0001_B10_x0001_C2_x0001_Year 1_x0001__x0004__x0004__x0004__x0004__x0004__x0004__x0004__x0004__x0004__x0004__x0004__x0001__x0004__x0004__x0004_7_x0004__x0004__x0004_%_x0004__x0004__x0004_S.1 Adjusted Purchase I_x0002__x0004_ntent / Year 1_x0001__x0002__x0002__x0002__x0004__x0002__x0002__x0002_NewMatrix1_x0002__x0002__x0002__x0002__x0001__x0002__x0002__x0002_1_x0002__x0002__x0002__x0002__x0003__x0002__x0002__x0002_C17?_x0002__x0002__x0002_=RiskTriang(0.18668,0.23335,0.256685,RiskCorrmat(NewMatrix1,2))*_x0002__x0002__x0002_S.2 Adjusted Purchase Intent_x0001_B17_x0001_C2_x0001_Year 1_x0001__x0002__x0002__x0002__x0002__x0002__x0002__x0002__x0001__x0002__x0002__x0002__x0001__x0002__x0002__x0002_?_x0002__x0002__x0002_%_x0002__x0002__x0002_S.2 Adjusted Purchase Intent / Year 1_x0001__x0002__x0002__x0002__x0004__x0002__x0002__x0002_NewMatrix1_x0002__x0002__x0002__x0002__x0001__x0002__x0002__x0002__x0004__x0005_2_x0004__x0004__x0004__x0004__x0003__x0004__x0004__x0004_ACV_x0001__x0004__x0004__x0004__x0003__x0004__x0004__x0004_C12&amp;_x0004__x0004__x0004_=RiskTriang(0.1229088,0.1416,0.145848)_x0017__x0004__x0004__x0004_TOTAL ACV_x0001_B12_x0001_C4_x0001_Year 1_x0001__x0004__x0004__x0004__x0004__x0004__x0004__x0004__x0002__x0004__x0004__x0004__x0001__x0004__x0004__x0004_&amp;_x0004__x0004__x0004__x0012__x0004__x0004__x0004_TOTAL ACV / Year 1_x0001__x0004__x0004__x0004__x0004__x0004__x0004__x0004__x0004__x0004__x0004__x0004__x0004__x0004__x0004__x0004__x0004__x0004__x0004__x0004_
_x0004__x0004__x0004_IMC Schedules_x0004__x0004__x0004__x0004__x000E__x0004__x0004__x0004_IMC References_x0004__x0004__x0004__x0004__x000E__x0004__x0004__x0004_FE Assumptions_x0002__x0004__x0004__x0004__x0003__x0004__x0004__x0004_D38!_x0004__x0004__x0004_=RiskNormal(26.143547,_x0002__x0004_1.83004829)A_x0002__x0002__x0002_Direct Material Per Unit_x0001_B38_x0001_B19_x0001_Operating Information (Year 1-5)_x0001__x0002__x0002__x0002__x0002__x0002__x0002__x0002__x0003__x0002__x0002__x0002__x0001__x0002__x0002__x0002_!_x0002__x0002__x0002_;_x0002__x0002__x0002_Direct Material Per Unit / Operating Information (Year 1-5)_x0001__x0002__x0002__x0002__x0002__x0002__x0002__x0002__x0002__x0002__x0002__x0002__x0002__x0002__x0002__x0002__x0002__x0002__x0002__x0002__x0003__x0002__x0002__x0002_D39&amp;_x0002__x0002__x0002_=RiskTriang(8.80092,9.7113672,12.3213)&gt;_x0002__x0002__x0002_Direct Labor Per_x0002__x0005_ Unit_x0001_B39_x0001_B19_x0001_Operating Information (Year 1-5)_x0001__x0002__x0002__x0002__x0002__x0002__x0002__x0002__x0004__x0002__x0002__x0002__x0001__x0002__x0002__x0002_&amp;_x0002__x0002__x0002_8_x0002__x0002__x0002_Direct Labor Per Unit / Operating Information (Year 1-5)_x0001__x0002__x0002__x0002__x0002__x0002__x0002__x0002__x0002__x0002__x0002__x0002__x0002__x0002__x0002__x0002__x0002__x0002__x0002__x0002__x0010__x0002__x0002__x0002_Income Statement_x0001__x0002__x0002__x0002__x0003__x0002__x0002__x0002_D16._x0002__x0002__x0002_=RiskTriang(-2421939.5,-2070033.8,-1952731.88)+_x0002__x0002__x0002_Total SG&amp;A Expenses_x0001_B_x0002__x0004_16_x0001_B5_x0001_Income Statement_x0001__x0002__x0002__x0002__x0002__x0002__x0002__x0002__x0005__x0002__x0002__x0002__x0001__x0002__x0002__x0002_._x0002__x0002__x0002_&amp;_x0002__x0002__x0002_Total SG&amp;A Expenses / Income Statement_x0001__x0002__x0002__x0002__x0002__x0002__x0002__x0002__x0002__x0002__x0002__x0002__x0002__x0002__x0002__x0002__x0002__x0002__x0002__x0002_
_x0002__x0002__x0002_Balance Sheet_x0002__x0002__x0002__x0002__x0015__x0002__x0002__x0002_RiskSerializationData_x0002__x0002__x0002__x0002_	_x0002__x0002__x0002_Valuation_x0001__x0002__x0002__x0002__x0003__x0002__x0002__x0002_C13'_x0002__x0002__x0002_=RiskOutput("NPV")+NPV(N12,D11:K11)+C11_x0002__x0002__x0002__x0002__x0002__x0002__x0002__x0002__x0001__x0002__x0002__x0002__x0002__x0002__x0002__x0002__x0001__x0002__x0002__x0002__x0012__x0002__x0002__x0002__x0002__x0002__x0002__x0002__x0003__x0002__x0002__x0001__x0002__x0001_NPV_x0001__x0001__x0001__x0001__x0001__x0001__x0001__x0001__x0001__x0001_ÿÿÿÿÿÿÿÿÿÿÿÿÿÿÿÿÿÿÿÿÿÿÿÿÿÿÿÿÿÿÿÿÿÿÿÿÿÿÿÿÿÿ_x0001__x0001__x0007__x0001__x0001__x0001_Funding_x0001__x0001__x0001__x0001__x0013__x0001__x0001__x0001_Break-even Analysis_x0001__x0001__x0001__x0001__x0013__x0001__x0001__x0001_Depreciation Tables_x0001__x0001__x0001__x0001__x0006__x0001__x0001__x0001_CompCo_x0001__x0001__x0001__x0001__x0014__x0001__x0001__x0001_Risk Mitigation Cost_x0001__x0001__x0001__x0001__x000F__x0001__x0001__x0001_Influence Chart_x0001__x0001__x0001__x0001__x001A__x0001__x0001__x0001_All Var SIMU workbook.xlsx_x001F__x0001__x0001__x0001__x0005__x0001__x0001__x0001_Cover_x0001__x0001__x0001__x0001__x0005__x0001__x0001__x0001_Index_x0001__x0001__x0001__x0001__x0001__x0004__x0013__x0001__x0001__x0001_General Assumptions_x0001__x0001__x0001__x0001__x0008__x0001__x0001__x0001_Capacity_x0001__x0001__x0001__x0001__x000E__x0001__x0001__x0001_Aggregate Plan_x0001__x0001__x0001__x0001_	_x0001__x0001__x0001_Inventory_x0001__x0001__x0001__x0001_	_x0001__x0001__x0001_Logistics_x0001__x0001__x0001__x0001__x0008__x0001__x0001__x0001_Salaries_x0001__x0001__x0001__x0001__x0008__x0001__x0001__x0001_Location_x0001__x0001__x0001__x0001__x0002__x0001__x0001__x0001_OH_x0001__x0001__x0001__x0001__x000E__x0001__x0001__x0001_Scrap + Defect_x0001__x0001__x0001__x0001__x0003__x0001__x0001__x0001_HOQ_x0001__x0001__x0001__x0001__x0006__x0001__x0001__x0001_Office_x0001__x0001__x0001__x0001__x0002__x0001__x0001__x0001_IT_x0001__x0001__x0001__x0001__x0017__x0001__x0001__x0001_BASES MODEL (Base Case)_x0001__x0001__x0001__x0001__x001F__x0001__x0001__x0001_Avg.Weighted Manufa_x0004__x0005_cturer Price_x0004__x0004__x0004__x0004__x0019__x0004__x0004__x0004_Purchase Intent and Price_x0002__x0004__x0004__x0004__x0003__x0004__x0004__x0004_C107_x0004__x0004__x0004_=RiskNormal(0.08921,0.008921,RiskCorrmat(NewMatrix1,2))*_x0004__x0004__x0004_S.1 Adjusted Purchase Intent_x0001_B10_x0001_C2_x0001_Year 1_x0001__x0004__x0004__x0004__x0004__x0004__x0004__x0004__x0006__x0004__x0004__x0004__x0001__x0004__x0004__x0004_7_x0004__x0004__x0004_%_x0004__x0004__x0004_S.1 Adjusted Purchase Intent / Year 1_x0001__x0004__x0004__x0004__x0005__x0004__x0004__x0004_NewMatrix1_x0004__x0004__x0004__x0004__x0001__x0004__x0004__x0004_2_x0004__x0004__x0004__x0002__x0004__x0002__x0003__x0002__x0002__x0002_C17A_x0002__x0002__x0002_=RiskTriang(0.210015,0.23335,0.2450175,RiskCorrmat(NewMatrix1,1))*_x0002__x0002__x0002_S.2 Adjusted Purchase Intent_x0001_B17_x0001_C2_x0001_Year 1_x0001__x0002__x0002__x0002__x0002__x0002__x0002__x0002__x0007__x0002__x0002__x0002__x0001__x0002__x0002__x0002_A_x0002__x0002__x0002_%_x0002__x0002__x0002_S.2 Adjusted Purchase Intent / Year 1_x0001__x0002__x0002__x0002__x0004__x0002__x0002__x0002_NewMatrix1_x0002__x0002__x0002__x0002__x0001__x0002__x0002__x0002_1_x0002__x0002__x0002__x0002__x0015__x0002__x0002__x0002_RiskSerializationData_x0002__x0002__x0002__x0002__x0003__x0002__x0002__x0002_ACV_x0001__x0004__x0005__x0004__x0004__x0004__x0003__x0004__x0004__x0004_C12&amp;_x0004__x0004__x0004_=RiskTriang(0.1229088,0.1416,0.145848)_x0017__x0004__x0004__x0004_TOTAL ACV_x0001_B12_x0001_C4_x0001_Year 1_x0001__x0004__x0004__x0004__x0004__x0004__x0004__x0004__x0008__x0004__x0004__x0004__x0001__x0004__x0004__x0004_&amp;_x0004__x0004__x0004__x0012__x0004__x0004__x0004_TOTAL ACV / Year 1_x0001__x0004__x0004__x0004__x0004__x0004__x0004__x0004__x0004__x0004__x0004__x0004__x0004__x0004__x0004__x0004__x0004__x0004__x0004__x0004_
_x0004__x0004__x0004_IMC Schedules_x0004__x0004__x0004__x0004__x000E__x0004__x0004__x0004_IMC References_x0004__x0004__x0004__x0004__x000E__x0004__x0004__x0004_FE Assumptions_x0002__x0004__x0004__x0004__x0003__x0004__x0004__x0004_D38._x0004__x0004__x0004_=RiskNormal(26.1474178221473,1.8303_x0002__x0004_1924755031)A_x0002__x0002__x0002_Direct Material Per Unit_x0001_B38_x0001_B19_x0001_Operating Information (Year 1-5)_x0001__x0002__x0002__x0002__x0002__x0002__x0002__x0002_	_x0002__x0002__x0002__x0001__x0002__x0002__x0002_._x0002__x0002__x0002_;_x0002__x0002__x0002_Direct Material Per Unit / Operating Information (Year 1-5)_x0001__x0002__x0002__x0002__x0002__x0002__x0002__x0002__x0002__x0002__x0002__x0002__x0002__x0002__x0002__x0002__x0002__x0002__x0002__x0002__x0003__x0002__x0002__x0002_D39'_x0002__x0002__x0002_=RiskTriang(7.92,8.74010785068982,11.8)&gt;_x0002__x0002__x0002_Direct Labor Pe_x0002__x0004_r Unit_x0001_B39_x0001_B19_x0001_Operating Information (Year 1-5)_x0001__x0002__x0002__x0002__x0002__x0002__x0002__x0002__x0004__x0002__x0002__x0002__x0001__x0002__x0002__x0002_'_x0002__x0002__x0002_8_x0002__x0002__x0002_Direct Labor Per Unit / Operating Information (Year 1-5)_x0001__x0002__x0002__x0002__x0002__x0002__x0002__x0002__x0002__x0002__x0002__x0002__x0002__x0002__x0002__x0002__x0002__x0002__x0002__x0002__x0010__x0002__x0002__x0002_Income Statement_x0001__x0002__x0002__x0002__x0003__x0002__x0002__x0002_D16"_x0002__x0002__x0002_=RiskNormal(-2175231.5,261027.792)+_x0002__x0002__x0002_Total SG&amp;A Expenses_x0001_B16_x0001_B5_x0001_Incom_x0002__x0004_e Statement_x0001__x0002__x0002__x0002__x0002__x0002__x0002__x0002__x000B__x0002__x0002__x0002__x0001__x0002__x0002__x0002_"_x0002__x0002__x0002_&amp;_x0002__x0002__x0002_Total SG&amp;A Expenses / Income Statement_x0001__x0002__x0002__x0002__x0002__x0002__x0002__x0002__x0002__x0002__x0002__x0002__x0002__x0002__x0002__x0002__x0002__x0002__x0002__x0002_
_x0002__x0002__x0002_Balance Sheet_x0002__x0002__x0002__x0002_	_x0002__x0002__x0002_Valuation_x0001__x0002__x0002__x0002__x0003__x0002__x0002__x0002_C13'_x0002__x0002__x0002_=RiskOutput("NPV")+NPV(N12,D11:K11)+C11_x0002__x0002__x0002__x0002__x0002__x0002__x0002__x0002__x0001__x0002__x0002__x0002__x0001__x0002__x0002__x0002__x0001__x0002__x0002__x0002__x0012__x0002__x0002__x0002__x0002__x0002__x0002__x0002__x0003__x0002__x0002__x0002_NPV_x0002__x0002__x0002__x0002__x0002__x0002__x0002__x0002__x0002__x0002_ÿÿÿÿÿÿÿÿÿÿÿÿÿÿÿÿÿÿÿÿÿÿÿÿÿÿ_x0004_	ÿÿÿÿÿÿÿÿÿÿÿÿÿÿÿÿ_x0004__x0004__x0007__x0004__x0004__x0004_Funding_x0004__x0004__x0004__x0004__x0013__x0004__x0004__x0004_Break-even Analysis_x0004__x0004__x0004__x0004__x0013__x0004__x0004__x0004_Depreciation Tables_x0004__x0004__x0004__x0004__x0006__x0004__x0004__x0004_CompCo_x0004__x0004__x0004__x0004__x0014__x0004__x0004__x0004_Risk Mitigation Cost_x0004__x0004__x0004__x0004__x000F__x0004__x0004__x0004_Influence Chart_x0004__x0004__x0004__x0004__x0004__x0004__x0004__x0004__x0001__x0004__x0004__x0004__x0005__x0004__x0004__x0004_Sim#1_x0004__x0004__x0004__x0004__x0004__x0004__x0008__x0004__x0004__x0004_TUBMJAQ5_x0002__x0004__x0004__x0004__x0005__x0004__x0004__x0004__x0005__x0004__x0004_ü_x0006__x0004__x0004__x0004__x000B__x0004__x0004__x0003_ð_x0004__x0004__x0001__x0004__x0004__x0004__x0004__x0004_Z2RE1LWGXT1SC5ZBB2R5TXPE_x0004__x0004__x0004_ÿÿÿÿ_x0004__x0001__x0003__x0001_ÿÿÿÿ_x0001__x0001_ÿÿÿÿ_x0001__x0001_ÿÿÿÿ_x0001__x0001_ÿÿÿÿ_x0001__x0001_ÿÿÿÿ_x0001__x0001_ÿÿ6S7YKNS46QGB8PDTMLXU66RC_x0001__x0001__x0001_ÿÿÿÿ_x0001__x0001_ÿÿÿÿ_x0001__x0001_ÿÿÿÿ_x0001__x0001_ÿÿÿÿ_x0001__x0001_ÿÿÿÿ_x0001__x0001_ÿÿÿÿ_x0001__x0001_ÿÿ_x0010_'_x0001__x0001_ï_x000E__x0001__x0001__x0001__x0002__x0001__x0001__x0010__x0002__x0001__x0001__x0001__x0001_"_x0001__x0001_after midgation simulation wb.xlsx_x0018__x0001__x0001__x0001_Z2RE1LWGXT1SC5ZBB2R5TXPE_x001F__x0001__x0001__x0001__x0001__x0005__x0001__x0001_Cover_x0001__x0001__x0001__x0001__x0001__x0005__x0001__x0001_Index_x0001__x0001__x0001__x0001__x0001__x0013__x0001__x0001_General Assumptions_x0001__x0001__x0001__x0001__x0001__x0008__x0001__x0001_Capac_x0001__x0004_ity_x0001__x0001__x0001__x0001__x0001__x000E__x0001__x0001_Aggregate Plan_x0001__x0001__x0001__x0001__x0001_	_x0001__x0001_Inventory_x0001__x0001__x0001__x0001__x0001_	_x0001__x0001_Logistics_x0001__x0001__x0001__x0001__x0001__x0008__x0001__x0001_Salaries_x0001__x0001__x0001__x0001__x0001__x0008__x0001__x0001_Location_x0001__x0001__x0001__x0001__x0001__x0002__x0001__x0001_OH_x0001__x0001__x0001__x0001__x0001__x000E__x0001__x0001_Scrap + Defect_x0001__x0001__x0001__x0001__x0001__x0003__x0001__x0001_HOQ_x0001__x0001__x0001__x0001__x0001__x0006__x0001__x0001_Office_x0001__x0001__x0001__x0001__x0001__x0002__x0001__x0001_IT_x0001__x0001__x0001__x0001__x0001__x0017__x0001__x0001_BASES MODEL (Base Case)_x0001__x0001__x0001__x0001__x0001__x001F__x0001__x0001_Avg.Weighted Manufacturer Price_x0001__x0001__x0001__x0001__x0001__x0019__x0001__x0001_Pur_x0003__x0004_chase Intent and Price_x0002__x0003__x0003__x0003__x0003_	_x0003__x0003__x0003__x0002__x0003_7_x0003__x0003_=RiskNormal(0.08921,0.008921,RiskCorrmat(NewMatrix1,1))*_x0003__x0003_S.1 Adjusted Purchase Intent_x0001_B10_x0001_C2_x0001_Year 1_x0003__x0001__x0003__x0003__x0003__x0003__x0003__x0003__x0003__x0003__x0001__x0003__x0003__x0003_7_x0003__x0003__x0003__x0003__x0003__x0003__x0001__x0003_ÿÿÿÿ_x0004__x0003__x0003_NewMatrix1_x0003__x0003__x0003__x0001__x0003__x0003_1_x0003__x0003__x0003__x0003__x0003__x0003__x0003__x0003__x0010__x0003__x0003__x0003__x0002__x0003_?_x0003__x0003_=RiskTriang(0.18668,0.23335,0.256685,RiskCor_x0004__x0005_rmat(NewMatrix1,2))*_x0004__x0004_S.2 Adjusted Purchase Intent_x0001_B17_x0001_C2_x0001_Year 1_x0004__x0001__x0004__x0004__x0004__x0004__x0001__x0004__x0004__x0004__x0001__x0004__x0004__x0004_?_x0004__x0004__x0004__x0004__x0004__x0004__x0001__x0004_ÿÿÿÿ_x0005__x0004__x0004_NewMatrix1_x0004__x0004__x0004__x0001__x0004__x0004_2_x0004__x0004__x0004__x0004__x0004__x0004__x0004__x0004__x0003__x0004__x0004_ACV_x0001__x0004__x0004__x0004__x0004__x000B__x0004__x0004__x0004__x0002__x0004_&amp;_x0004__x0004_=RiskTriang(0.1229088,0.1416,0.145848)_x0017__x0004__x0004_TOTAL ACV_x0001_B12_x0001_C4_x0001_Year 1_x0004__x0001__x0004__x0004__x0004__x0004__x0002__x0004__x0004__x0004__x0001__x0004__x0004__x0004_&amp;_x0004__x0004__x0004__x0004__x0004__x0004__x0001__x0004_ÿÿÿÿ_x0004__x0004__x0004__x0004__x0004__x0004__x0004__x0004__x0004__x0004__x0005__x0004__x0004__x0004__x0004__x0004__x0004__x0004__x0004_
_x0004__x0004_IMC Schedules_x0004__x0004__x0004__x0004__x0004__x000E__x0004__x0004_IMC References_x0004__x0004__x0004__x0004__x0004__x000E__x0004__x0004_FE Assumptions_x0002__x0004__x0004__x0004__x0004_%_x0004__x0004__x0004__x0003__x0004_!_x0004__x0004_=RiskNormal(26.143547,1.83004829)A_x0004__x0004_Direct Material Per Unit_x0001_B38_x0001_B19_x0001_Operating Information (Year 1-5)_x0004__x0001__x0004__x0004__x0004__x0004__x0003__x0004__x0004__x0004__x0001__x0004__x0004__x0004_!_x0004__x0004__x0004__x0004__x0004__x0004__x0001__x0004_ÿÿÿÿ_x0004__x0004__x0004__x0004__x0004__x0004__x0004__x0004__x0004__x0004__x0004__x0004__x0004__x0004__x0004__x0004__x0004_&amp;_x0004__x0004__x0004__x0003__x0004_&amp;_x0004__x0004_=Ris_x0002__x0005_kTriang(8.80092,9.7113672,12.3213)&gt;_x0002__x0002_Direct Labor Per Unit_x0001_B39_x0001_B19_x0001_Operating Information (Year 1-5)_x0002__x0001__x0002__x0002__x0002__x0002__x0004__x0002__x0002__x0002__x0001__x0002__x0002__x0002_&amp;_x0002__x0002__x0002__x0002__x0002__x0002__x0001__x0002_ÿÿÿÿ_x0002__x0002__x0002__x0002__x0002__x0002__x0002__x0002__x0002__x0002__x0002__x0002__x0002__x0002__x0002__x0002__x0002__x0010__x0002__x0002_Income Statement_x0001__x0002__x0002__x0002__x0002__x000F__x0002__x0002__x0002__x0003__x0002_._x0002__x0002_=RiskTriang(-2421939.5,-2070033.8,-1952731.88)+_x0002__x0002_Total SG&amp;A Expense_x0004__x0006_s_x0001_B16_x0001_B5_x0001_Income Statement_x0004__x0001__x0004__x0004__x0004__x0004__x0005__x0004__x0004__x0004__x0001__x0004__x0004__x0004_._x0004__x0004__x0004__x0004__x0004__x0004__x0001__x0004_ÿÿÿÿ_x0004__x0004__x0004__x0004__x0004__x0004__x0004__x0004__x0004__x0004__x0004__x0004__x0004__x0004__x0004__x0004__x0004_
_x0004__x0004_Balance Sheet_x0004__x0004__x0004__x0004__x0004__x0015__x0004__x0004_RiskSerializationData_x0004__x0004__x0004__x0004__x0004_	_x0004__x0004_Valuation_x0001__x0004__x0004__x0004__x0004__x000C__x0004__x0004__x0004__x0002__x0004_'_x0004__x0004_=RiskOutput("NPV")+NPV(N12,D11:K11)+C11_x0004__x0004__x0004__x0004__x0004__x0004__x0004__x0004__x0001__x0004__x0004__x0004__x0004__x0004__x0004__x0004__x0004__x0001__x0004__x0004__x0004__x0012__x0004__x0004__x0004__x0004__x0004__x0003__x0004__x0004_NPV_x0004__x0004__x0004__x0004__x0004__x0004__x0004__x0004_ÿÿÿÿÿÿÿÿÿÿÿÿÿÿÿ_x0001__x0002_ÿÿÿÿÿÿÿÿÿÿÿÿÿÿÿÿÿÿÿÿÿÿÿÿÿÿÿ_x0001_ÿÿ_x0001__x0007__x0001__x0001_Funding_x0001__x0001__x0001__x0001__x0001__x0013__x0001__x0001_Break-even Analysis_x0001__x0001__x0001__x0001__x0001__x0013__x0001__x0001_Depreciation Tables_x0001__x0001__x0001__x0001__x0001__x0006__x0001__x0001_CompCo_x0001__x0001__x0001__x0001__x0001__x0014__x0001__x0001_Risk Mitigation Cost_x0001__x0001__x0001__x0001__x0001__x000F__x0001__x0001_Influence Chart_x0001__x0001__x0001__x0001__x0001__x001A__x0001__x0001_All Var SIMU workbook.xlsx_x0018__x0001__x0001__x0001_6S7YKNS46QGB8PDTMLXU66RC_x001F__x0001__x0001__x0001__x0001__x0005__x0001__x0001_Cover_x0001__x0001__x0001__x0001__x0001__x0005__x0001__x0001__x0001__x0004_Index_x0001__x0001__x0001__x0001__x0001__x0013__x0001__x0001_General Assumptions_x0001__x0001__x0001__x0001__x0001__x0008__x0001__x0001_Capacity_x0001__x0001__x0001__x0001__x0001__x000E__x0001__x0001_Aggregate Plan_x0001__x0001__x0001__x0001__x0001_	_x0001__x0001_Inventory_x0001__x0001__x0001__x0001__x0001_	_x0001__x0001_Logistics_x0001__x0001__x0001__x0001__x0001__x0008__x0001__x0001_Salaries_x0001__x0001__x0001__x0001__x0001__x0008__x0001__x0001_Location_x0001__x0001__x0001__x0001__x0001__x0002__x0001__x0001_OH_x0001__x0001__x0001__x0001__x0001__x000E__x0001__x0001_Scrap + Defect_x0001__x0001__x0001__x0001__x0001__x0003__x0001__x0001_HOQ_x0001__x0001__x0001__x0001__x0001__x0006__x0001__x0001_Office_x0001__x0001__x0001__x0001__x0001__x0002__x0001__x0001_IT_x0001__x0001__x0001__x0001__x0001__x0017__x0001__x0001_BASES MODEL (Base Case)_x0001__x0001__x0001__x0001__x0001__x0003__x0004__x001F__x0003__x0003_Avg.Weighted Manufacturer Price_x0003__x0003__x0003__x0003__x0003__x0019__x0003__x0003_Purchase Intent and Price_x0002__x0003__x0003__x0003__x0003_	_x0003__x0003__x0003__x0002__x0003_7_x0003__x0003_=RiskNormal(0.08921,0.008921,RiskCorrmat(NewMatrix1,2))*_x0003__x0003_S.1 Adjusted Purchase Intent_x0001_B10_x0001_C2_x0001_Year 1_x0003__x0001__x0003__x0003__x0003__x0003__x0006__x0003__x0003__x0003__x0001__x0003__x0003__x0003_7_x0003__x0003__x0003__x0003__x0003__x0003__x0001__x0003_ÿÿÿÿ_x0004__x0003__x0003_NewMatrix1_x0003__x0003__x0003__x0001__x0003__x0003_2_x0003__x0003__x0003__x0003__x0003__x0003__x0003__x0003__x0010__x0003__x0003__x0003__x0002__x0003_A_x0004__x0005__x0004__x0004_=RiskTriang(0.210015,0.23335,0.2450175,RiskCorrmat(NewMatrix1,1))*_x0004__x0004_S.2 Adjusted Purchase Intent_x0001_B17_x0001_C2_x0001_Year 1_x0004__x0001__x0004__x0004__x0004__x0004__x0007__x0004__x0004__x0004__x0001__x0004__x0004__x0004_A_x0004__x0004__x0004__x0004__x0004__x0004__x0001__x0004_ÿÿÿÿ_x0005__x0004__x0004_NewMatrix1_x0004__x0004__x0004__x0001__x0004__x0004_1_x0004__x0004__x0004__x0004__x0004__x0004__x0004__x0004__x0015__x0004__x0004_RiskSerializationData_x0004__x0004__x0004__x0004__x0004__x0003__x0004__x0004_ACV_x0001__x0004__x0004__x0004__x0004__x000B__x0004__x0004__x0004__x0002__x0004_&amp;_x0004__x0004_=RiskTriang(0.1229088,0.14_x0004__x0005_16,0.145848)_x0017__x0004__x0004_TOTAL ACV_x0001_B12_x0001_C4_x0001_Year 1_x0004__x0001__x0004__x0004__x0004__x0004__x0008__x0004__x0004__x0004__x0001__x0004__x0004__x0004_&amp;_x0004__x0004__x0004__x0004__x0004__x0004__x0001__x0004_ÿÿÿÿ_x0004__x0004__x0004__x0004__x0004__x0004__x0004__x0004__x0004__x0004__x0004__x0004__x0004__x0004__x0004__x0004__x0004_
_x0004__x0004_IMC Schedules_x0004__x0004__x0004__x0004__x0004__x000E__x0004__x0004_IMC References_x0004__x0004__x0004__x0004__x0004__x000E__x0004__x0004_FE Assumptions_x0002__x0004__x0004__x0004__x0004_%_x0004__x0004__x0004__x0003__x0004_._x0004__x0004_=RiskNormal(26.1474178221473,1.83031924755031)A_x0004__x0004_Direct Material Per Unit_x0001_B38_x0001_B19_x0001_Ope_x0002__x0004_rating Information (Year 1-5)_x0002__x0001__x0002__x0002__x0002__x0002_	_x0002__x0002__x0002__x0001__x0002__x0002__x0002_._x0002__x0002__x0002__x0002__x0002__x0002__x0001__x0002_ÿÿÿÿ_x0002__x0002__x0002__x0002__x0002__x0002__x0002__x0002__x0002__x0002__x0002__x0002__x0002__x0002__x0002__x0002__x0002_&amp;_x0002__x0002__x0002__x0003__x0002_'_x0002__x0002_=RiskTriang(7.92,8.74010785068982,11.8)&gt;_x0002__x0002_Direct Labor Per Unit_x0001_B39_x0001_B19_x0001_Operating Information (Year 1-5)_x0002__x0001__x0002__x0002__x0002__x0002__x0004__x0002__x0002__x0002__x0001__x0002__x0002__x0002_'_x0002__x0002__x0002__x0002__x0002__x0002__x0001__x0002_ÿÿÿÿ_x0002__x0002__x0002__x0002__x0002__x0002__x0002__x0002__x0002__x0002__x0002__x0002__x0002__x0002__x0002__x0002__x0002__x0010__x0002__x0002_Income_x0004__x0005_ Statement_x0001__x0004__x0004__x0004__x0004__x000F__x0004__x0004__x0004__x0003__x0004_"_x0004__x0004_=RiskNormal(-2175231.5,261027.792)+_x0004__x0004_Total SG&amp;A Expenses_x0001_B16_x0001_B5_x0001_Income Statement_x0004__x0001__x0004__x0004__x0004__x0004__x000B__x0004__x0004__x0004__x0001__x0004__x0004__x0004_"_x0004__x0004__x0004__x0004__x0004__x0004__x0001__x0004_ÿÿÿÿ_x0004__x0004__x0004__x0004__x0004__x0004__x0004__x0004__x0004__x0004__x0004__x0004__x0004__x0004__x0004__x0004__x0004_
_x0004__x0004_Balance Sheet_x0004__x0004__x0004__x0004__x0004_	_x0004__x0004_Valuation_x0001__x0004__x0004__x0004__x0004__x000C__x0004__x0004__x0004__x0002__x0004_'_x0004__x0004_=RiskOutput("NPV")+NPV(N12,D11:K11)+C11_x0004__x0004__x0004__x0004__x0004__x0004__x0004__x0004__x0005__x0004__x0001__x0004__x0004__x0004__x0004__x0001__x0004__x0004__x0004__x0001__x0004__x0004__x0004__x0012__x0004__x0004__x0004__x0004__x0004__x0003__x0004__x0004_NPV_x0004__x0004__x0004__x0004__x0004__x0004__x0004__x0004_ÿÿÿÿÿÿÿÿÿÿÿÿÿÿÿÿÿÿÿÿÿÿÿÿÿÿÿÿÿÿÿÿÿÿÿÿÿÿÿÿÿÿ_x0004_ÿÿ_x0004__x0007__x0004__x0004_Funding_x0004__x0004__x0004__x0004__x0004__x0013__x0004__x0004_Break-even Analysis_x0004__x0004__x0004__x0004__x0004__x0013__x0004__x0004_Depreciation Tables_x0004__x0004__x0004__x0004__x0004__x0006__x0004__x0004_CompCo_x0004__x0004__x0004__x0004__x0004__x0014__x0004__x0004_Risk Mitigation Cost_x0004__x0004__x0004__x0004__x0004__x000F__x0004__x0004_Influence Chart_x0004__x0004__x0004__x0004__x000C__x0004__x0004__x0004__x0004__x0004__x0004__x0004__x0002__x0004__x0004__x0004__x0004__x0004__x0004__x0004__x000C__x0004__x0004__x0004__x0004__x0004__x0010__x0004__x0004__x0004__x0004__x0004__x0004__x0004__x0004__x0003__x0004__x0003__x0010__x0003__x0001__x0003__x0003__x0003__x0003__x0003__x0003__x0003__x0011__x0003__x0003__x0003__x0003__x0003__x0003__x0003__x0003__x0003__x0014__x0003__x0003__x0003__x0003__x0003__x0003__x0003__x0003__x0003__x0014__x0003__x0001__x0003__x0003__x0003__x0003__x0003__x0003__x0003__x0015__x0003__x0003__x0003__x0003__x0003__x0003__x0003__x0001__x0003__x0010__x0003__x0003__x0003__x0003__x0003__x0003__x0003__x0001__x0003__x0010__x0003__x0001__x0003__x0003__x0003__x0003__x0003__x0001__x0003__x0012__x0003__x0003__x0003__x0003__x0003__x0003__x0003__x0001__x0003__x0015__x0003__x0003__x0003__x0003__x0003__x0003__x0003__x0001__x0003__x0015__x0003__x0001__x0003__x0003__x0003__x0003__x0003__x0001__x0003__x0016__x0003__x0003__x0003__x0003__x0003__x0003__x0003__x0002__x0003__x0003__x0003__x0003__x0003__x0018__x0003__x0003__x0003__x0003__x0003__x0003__x0003__x0001__x0003__x0018__x0003__x0003__x0003__x0003__x0003__x0003__x0003__x0003__x0003__x0003__x0003__x0003__x0003__x0003__x0003__x0012_'_x0003__x0003_l_x0003__x0003__x0003_ÿÿÿÿÿÿÿÿÿÿÿÿÿÿÿÿÿÿÿÿÿÿÿÿÿÿÿÿÿÿÿÿÿÿÿÿÿÿÿÿÿÿÿÿÿÿÿÿÿÿÿÿÿÿÿÿÿÿÿÿÿÿÿÿÿÿÿÿÿÿÿÿÿÿÿÿÿÿÿÿÿÿÿÿÿÿÿÿÿÿÿÿÿÿÿÿ_x0003__x0003__x0003__x0003_ N_x0003__x0002__x0003__x0002_D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_x0002__x0002__x000C__x0002__x0002__x0002__x0001__x0002__x0002__x0002__x0013_'_x0002__x0002__x0010__x0002__x0002__x0002__x0001__x0002__x0002__x0002_ÿ;h_x0001__x0002__x0002_ÿÿÿÿ</t>
  </si>
  <si>
    <t>33ac2cb9239dd8f63e2b76410903c8160|1|122825|bf4e906a7492f7ad340466806eb59318</t>
  </si>
  <si>
    <t>GF1_rK0qDwEAEADnAAwjACYAdQB+AJIAkwChAK8AwgDjAN0AKgD//wAAAAAAAQQAAAAAQV8oWyQkLTQwOV0qICMsIyMwXyk7XyhbJCQtNDA5XSogKCMsIyMwKTtfKFskJC00MDldKiAiLSI/P18pO18oQF8pAAAAAQNOUFYBAAEBEAACAAEKU3RhdGlzdGljcwMBAQD/AQEBAQEAAQEBAAQAAAABAQEBAQABAQEABAAAAAGzAAILAANOUFYAAC8BAAIAAgDKANMAAQECAQAAAAA4Z0DBAWZmZmZmZu4/AAAFAAEBAQABAQEA</t>
  </si>
  <si>
    <t>GF1_rK0qDwEAEADnAAwjACYAdQB+AJIAkwChAK8AwgDjAN0AKgD//wAAAAAAAQQAAAAAQV8oWyQkLTQwOV0qICMsIyMwXyk7XyhbJCQtNDA5XSogKCMsIyMwKTtfKFskJC00MDldKiAiLSI/P18pO18oQF8pAAAAAQNOUFYBAAEBEAACAAEKU3RhdGlzdGljcwMBAQD/AQEBAQEAAQEBAAQAAAABAQEBAQABAQEABAAAAAGzAAILAANOUFYAAC8BAAIAAgDKANMAAQECAQAAAAAAAAAAAWZmZmZmZu4/AAAFAAEBAQABAQEA</t>
  </si>
  <si>
    <t>GF1_rK0qDwEAEACFAQwjACYAdQDOAOIA4wDxAP8AXwGBAXsBKgD//wAAAAAAAQQAAAAAQV8oWyQkLTQwOV0qICMsIyMwXyk7XyhbJCQtNDA5XSogKCMsIyMwKTtfKFskJC00MDldKiAiLSI/P18pO18oQF8pAAAAASZUb3RhbCBTRyZBIEV4cGVuc2VzIC8gSW5jb21lIFN0YXRlbWVudAEtQ29tcGFyaXNvbiB3aXRoIE5vcm1hbCgtMjE3NTIzMS41LDI2MTAyNy43OTIpAQEQAAIAAQpTdGF0aXN0aWNzAwEBAP8BAQEBAQABAQEABAAAAAEBAQEBAAEBAQAEAAAAAgYBAjgBAC4AJlRvdGFsIFNHJkEgRXhwZW5zZXMgLyBJbmNvbWUgU3RhdGVtZW50AAAvAQACAAIAJQAdTm9ybWFsKC0yMTc1MjMxLjUsMjYxMDI3Ljc5MikBASUBAAIAZwFxAQEBAgGamZmZmZmpPwAAZmZmZmZm7j8AAAUAAQEBAAEBAQA=</t>
  </si>
  <si>
    <t>Y1</t>
  </si>
  <si>
    <t>Y2</t>
  </si>
  <si>
    <t>Y3</t>
  </si>
  <si>
    <t>Y4</t>
  </si>
  <si>
    <t>Y5</t>
  </si>
  <si>
    <t>sensitivity</t>
  </si>
  <si>
    <t>Starting NPV</t>
  </si>
  <si>
    <t>NPV with 1% increase</t>
  </si>
  <si>
    <t>Change in NPV with 1% increase</t>
  </si>
  <si>
    <t>Elasticities of NPV (% change due to 1% increase)</t>
  </si>
  <si>
    <t>Starting IRR</t>
  </si>
  <si>
    <t>IRR with 1% increase</t>
  </si>
  <si>
    <t>Change in IRR with 1% increase</t>
  </si>
  <si>
    <t>Elasticities of IRR (% change due to 1% increase)</t>
  </si>
  <si>
    <t>NPV=0</t>
  </si>
  <si>
    <t>IRR=0</t>
  </si>
  <si>
    <t>SG&amp;A</t>
  </si>
  <si>
    <t>DM</t>
  </si>
  <si>
    <t>DL</t>
  </si>
  <si>
    <t>PI-STU</t>
  </si>
  <si>
    <t>Mfg. Overhead</t>
  </si>
  <si>
    <t>PI-WC</t>
  </si>
  <si>
    <t>Elasticities of NPV</t>
  </si>
  <si>
    <t>Elasticities of IRR</t>
  </si>
  <si>
    <t>Mfg. OH</t>
  </si>
  <si>
    <t>% to make NPV=0</t>
  </si>
  <si>
    <t>% to make IRR=0</t>
  </si>
  <si>
    <t>Quick Report</t>
  </si>
  <si>
    <t>NPV</t>
  </si>
  <si>
    <t>IRR</t>
  </si>
  <si>
    <t>Sensitivity Analysis</t>
  </si>
  <si>
    <t>Simulation before Risk Mitigation</t>
  </si>
  <si>
    <t>Mean</t>
  </si>
  <si>
    <t>Min</t>
  </si>
  <si>
    <t>Max</t>
  </si>
  <si>
    <t>Stddev</t>
  </si>
  <si>
    <t>5th Percentile</t>
  </si>
  <si>
    <t>25th Percentile</t>
  </si>
  <si>
    <t>75th Percentile</t>
  </si>
  <si>
    <t>95th Percentile</t>
  </si>
  <si>
    <t>P(NPV&gt;0)</t>
  </si>
  <si>
    <t>NPV Calculations for Simulation</t>
  </si>
  <si>
    <t>Simulation after Risk Mitigation</t>
  </si>
  <si>
    <t>Simulation of The Worst Case</t>
  </si>
  <si>
    <t>PI</t>
  </si>
  <si>
    <t>All Variables</t>
  </si>
  <si>
    <t>All Variables Tornado Chart</t>
  </si>
  <si>
    <t>All Variable Tornado Chart</t>
  </si>
  <si>
    <t>BASE</t>
    <phoneticPr fontId="59" type="noConversion"/>
  </si>
  <si>
    <t>STDEV(10%)</t>
    <phoneticPr fontId="59" type="noConversion"/>
  </si>
  <si>
    <t>MIN(0.85*base)</t>
    <phoneticPr fontId="59" type="noConversion"/>
  </si>
  <si>
    <t>MAX(1.075*base)</t>
    <phoneticPr fontId="59" type="noConversion"/>
  </si>
  <si>
    <t>MIN(0.9*base)</t>
    <phoneticPr fontId="59" type="noConversion"/>
  </si>
  <si>
    <t>MAX(1.1*base)</t>
    <phoneticPr fontId="59" type="noConversion"/>
  </si>
  <si>
    <t>base</t>
    <phoneticPr fontId="59" type="noConversion"/>
  </si>
  <si>
    <t>max(1.26875*base)</t>
    <phoneticPr fontId="59" type="noConversion"/>
  </si>
  <si>
    <t>MIN(0.90625*base)</t>
    <phoneticPr fontId="59" type="noConversion"/>
  </si>
  <si>
    <t>stdev(5%of base)</t>
    <phoneticPr fontId="59" type="noConversion"/>
  </si>
  <si>
    <t>stdev(12%*base)</t>
    <phoneticPr fontId="59" type="noConversion"/>
  </si>
  <si>
    <t>Base Case-After Risk Mitigation</t>
  </si>
  <si>
    <t>Base Case-Worst Case</t>
  </si>
  <si>
    <t>Income Statement after Risk Mitigation</t>
  </si>
  <si>
    <t>FE Assumption after Risk Mitigation</t>
  </si>
  <si>
    <t>PI &amp; Price after Mitigation</t>
  </si>
  <si>
    <r>
      <t xml:space="preserve">For the </t>
    </r>
    <r>
      <rPr>
        <b/>
        <sz val="12"/>
        <color theme="1"/>
        <rFont val="Times New Roman"/>
        <family val="1"/>
      </rPr>
      <t>PI of students</t>
    </r>
    <r>
      <rPr>
        <sz val="12"/>
        <color theme="1"/>
        <rFont val="Times New Roman"/>
        <family val="1"/>
      </rPr>
      <t xml:space="preserve"> we chose to use a normal distribution with a standard deviation of 10% of base case. We believe their answers were truthful, and their expressed PI seemed realistic</t>
    </r>
  </si>
  <si>
    <t>For maximum we used only 7.5% because we believe it was double more probable that a responder lied about purchasing it instead of the other way around.</t>
  </si>
  <si>
    <r>
      <t xml:space="preserve">For the PI of the </t>
    </r>
    <r>
      <rPr>
        <b/>
        <sz val="12"/>
        <color theme="1"/>
        <rFont val="Times New Roman"/>
        <family val="1"/>
      </rPr>
      <t>white collar segments</t>
    </r>
    <r>
      <rPr>
        <sz val="12"/>
        <color theme="1"/>
        <rFont val="Times New Roman"/>
        <family val="1"/>
      </rPr>
      <t xml:space="preserve">, we decided to use a triangular distribution. The mean used was the base case, minimum was 15% lower than base case since we found that 15% lie on surveys. </t>
    </r>
  </si>
  <si>
    <t>Explanation</t>
  </si>
  <si>
    <t>This variable will not change between before and after the mitigation of risk simulation.</t>
  </si>
  <si>
    <t>Base</t>
  </si>
  <si>
    <t>StDev= 7% of base case</t>
  </si>
  <si>
    <t>St Dev</t>
  </si>
  <si>
    <t>Direct Material</t>
  </si>
  <si>
    <t>7% of Base</t>
  </si>
  <si>
    <t>We decided to use a normal distribtuion with a 7% st deviation because of the possibility that we will be affected by currency fluctuation and material change.</t>
  </si>
  <si>
    <t>Used a triangular distribution based on minimum wage, what we currently pay per unit, and the growth the minimum wage has experience in the past 10 years in Utah.</t>
  </si>
  <si>
    <t>SG&amp;A Distribution</t>
  </si>
  <si>
    <t>12% of base</t>
  </si>
  <si>
    <t>We used a normal distribution with a standard deviation of 12%, since we used the mean cost when looking at billboard and other marketing expenses. We looked at the deviation of costs in cities and it is around 12%</t>
  </si>
  <si>
    <t>After mitigation, we assume that the units sold will be only 5% lower than the base case, since we increase spending on awareness, which drive sales.</t>
  </si>
  <si>
    <t>We plugged the costs and benefits laid out for risk 1 in the income statement.</t>
  </si>
  <si>
    <t xml:space="preserve">After the mitigation, we decreased the standard deviation of percentage of the base case from 7% to 5%, since we will be more sure </t>
  </si>
  <si>
    <t>of how much raw material will be demanded. This is due to the fact that we will collect survey responses each year.</t>
  </si>
  <si>
    <t>Fixed production costs were decreased by amount we are able to scale back direct labor and rent.</t>
  </si>
  <si>
    <t xml:space="preserve"> This allows us to save operational costs, thus helping us increase our NPV.</t>
  </si>
  <si>
    <t>We increased our marketing expenses to increase aware and thus sustain demand.</t>
  </si>
  <si>
    <t xml:space="preserve">After mitigation, we changed the min and max for the PI of the white collar segment since we spend more in survey every year. </t>
  </si>
  <si>
    <t xml:space="preserve">This will result in a higher minimum and, because we spend more on generating marketing awareness, we expect to have a higher max. </t>
  </si>
  <si>
    <t>The standard deviation for students will be constant since we believe the previous PI was in line we reality.</t>
  </si>
  <si>
    <t>We decrease the demand by 15%. This is because we assume that PI was not reliable, thus resulting in a lower demand.</t>
  </si>
  <si>
    <t xml:space="preserve">For the worst case, we want to study how our operations would be affected if our major risk would actually take place. </t>
  </si>
  <si>
    <t>min(1-(15% * 0.88))</t>
  </si>
  <si>
    <t>max( 1+ (25%)</t>
  </si>
  <si>
    <t>For the ACV we chose a triangular distribution based on our base case, the percentage of brick and mortar stores that are closing each year(15%) and the growth in online sales by Amazon(25%).</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</si>
</sst>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quot;$&quot;* #,##0.00_-;\-&quot;$&quot;* #,##0.00_-;_-&quot;$&quot;* &quot;-&quot;??_-;_-@_-"/>
    <numFmt numFmtId="164" formatCode="_(* #,##0.00_);_(* \(#,##0.00\);_(* &quot;-&quot;??_);_(@_)"/>
    <numFmt numFmtId="165" formatCode="&quot;$&quot;#,##0_);[Red]\(&quot;$&quot;#,##0\)"/>
    <numFmt numFmtId="166" formatCode="&quot;$&quot;#,##0.00_);[Red]\(&quot;$&quot;#,##0.00\)"/>
    <numFmt numFmtId="167" formatCode="_(&quot;$&quot;* #,##0.00_);_(&quot;$&quot;* \(#,##0.00\);_(&quot;$&quot;* &quot;-&quot;??_);_(@_)"/>
    <numFmt numFmtId="168" formatCode="_-* #,##0.00\ _₽_-;\-* #,##0.00\ _₽_-;_-* &quot;-&quot;??\ _₽_-;_-@_-"/>
    <numFmt numFmtId="169" formatCode="_-* #,##0.00\ _$_-;\-* #,##0.00\ _$_-;_-* &quot;-&quot;??\ _$_-;_-@_-"/>
    <numFmt numFmtId="170" formatCode="&quot;$&quot;#,##0.00"/>
    <numFmt numFmtId="171" formatCode="&quot;$&quot;#,##0"/>
    <numFmt numFmtId="172" formatCode="_(* #,##0_);_(* \(#,##0\);_(* &quot;-&quot;??_);_(@_)"/>
    <numFmt numFmtId="173" formatCode="0.0%"/>
    <numFmt numFmtId="174" formatCode="_(* #,##0.000_);_(* \(#,##0.000\);_(* &quot;-&quot;??_);_(@_)"/>
    <numFmt numFmtId="175" formatCode="_([$$-409]* #,##0.00_);_([$$-409]* \(#,##0.00\);_([$$-409]* &quot;-&quot;??_);_(@_)"/>
    <numFmt numFmtId="176" formatCode="_(* #,##0.0_);_(* \(#,##0.0\);_(* &quot;-&quot;??_);_(@_)"/>
    <numFmt numFmtId="177" formatCode="_(&quot;$&quot;* #,##0_);_(&quot;$&quot;* \(#,##0\);_(&quot;$&quot;* &quot;-&quot;??_);_(@_)"/>
    <numFmt numFmtId="178" formatCode="_-* #,##0_-;\-* #,##0_-;_-* &quot;-&quot;??_-;_-@_-"/>
    <numFmt numFmtId="179" formatCode="_-&quot;$&quot;* #,##0_-;\-&quot;$&quot;* #,##0_-;_-&quot;$&quot;* &quot;-&quot;??_-;_-@_-"/>
    <numFmt numFmtId="180" formatCode="_-[$$-409]* #,##0.00_ ;_-[$$-409]* \-#,##0.00\ ;_-[$$-409]* &quot;-&quot;??_ ;_-@_ "/>
    <numFmt numFmtId="181" formatCode="_([$$-409]* #,##0_);_([$$-409]* \(#,##0\);_([$$-409]* &quot;-&quot;??_);_(@_)"/>
    <numFmt numFmtId="182" formatCode="_([$$-409]* #,##0.0000000_);_([$$-409]* \(#,##0.0000000\);_([$$-409]* &quot;-&quot;??_);_(@_)"/>
    <numFmt numFmtId="183" formatCode="_-* #,##0\ _$_-;\-* #,##0\ _$_-;_-* &quot;-&quot;??\ _$_-;_-@_-"/>
    <numFmt numFmtId="184" formatCode="&quot;$&quot;#,##0.00;[Red]&quot;$&quot;#,##0.00"/>
    <numFmt numFmtId="185" formatCode="_-[$$-409]* #,##0_ ;_-[$$-409]* \-#,##0\ ;_-[$$-409]* &quot;-&quot;??_ ;_-@_ "/>
    <numFmt numFmtId="186" formatCode="0.000000%"/>
    <numFmt numFmtId="187" formatCode="0.000"/>
    <numFmt numFmtId="188" formatCode="_-* #,##0.0000\ _$_-;\-* #,##0.0000\ _$_-;_-* &quot;-&quot;??\ _$_-;_-@_-"/>
    <numFmt numFmtId="189" formatCode="[$-409]mmmm\ d\,\ yyyy;@"/>
    <numFmt numFmtId="190" formatCode="&quot;$&quot;#,##0;[Red]&quot;$&quot;#,##0"/>
    <numFmt numFmtId="191" formatCode="0.0000"/>
    <numFmt numFmtId="192" formatCode="0.000000"/>
    <numFmt numFmtId="193" formatCode="0.0"/>
  </numFmts>
  <fonts count="67"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color rgb="FF000000"/>
      <name val="Arial"/>
      <family val="2"/>
    </font>
    <font>
      <sz val="10"/>
      <name val="Arial"/>
      <family val="2"/>
    </font>
    <font>
      <u/>
      <sz val="12"/>
      <color theme="10"/>
      <name val="Calibri"/>
      <family val="2"/>
      <scheme val="minor"/>
    </font>
    <font>
      <u/>
      <sz val="12"/>
      <color theme="11"/>
      <name val="Calibri"/>
      <family val="2"/>
      <scheme val="minor"/>
    </font>
    <font>
      <sz val="12"/>
      <color theme="1"/>
      <name val="Times New Roman"/>
      <family val="1"/>
    </font>
    <font>
      <b/>
      <sz val="12"/>
      <color theme="1"/>
      <name val="Times New Roman"/>
      <family val="1"/>
    </font>
    <font>
      <i/>
      <sz val="12"/>
      <color theme="1"/>
      <name val="Times New Roman"/>
      <family val="1"/>
    </font>
    <font>
      <sz val="12"/>
      <color rgb="FF000000"/>
      <name val="Times New Roman"/>
      <family val="1"/>
    </font>
    <font>
      <b/>
      <sz val="12"/>
      <name val="Times New Roman"/>
      <family val="1"/>
    </font>
    <font>
      <sz val="12"/>
      <name val="Times New Roman"/>
      <family val="1"/>
    </font>
    <font>
      <i/>
      <sz val="12"/>
      <name val="Times New Roman"/>
      <family val="1"/>
    </font>
    <font>
      <i/>
      <sz val="12"/>
      <color rgb="FF000000"/>
      <name val="Times New Roman"/>
      <family val="1"/>
    </font>
    <font>
      <b/>
      <sz val="12"/>
      <color rgb="FF000000"/>
      <name val="Times New Roman"/>
      <family val="1"/>
    </font>
    <font>
      <i/>
      <sz val="12"/>
      <color rgb="FFFF0000"/>
      <name val="Times New Roman"/>
      <family val="1"/>
    </font>
    <font>
      <sz val="12"/>
      <color rgb="FFFF0000"/>
      <name val="Times New Roman"/>
      <family val="1"/>
    </font>
    <font>
      <b/>
      <i/>
      <sz val="12"/>
      <name val="Times New Roman"/>
      <family val="1"/>
    </font>
    <font>
      <b/>
      <i/>
      <sz val="12"/>
      <color rgb="FF000000"/>
      <name val="Times New Roman"/>
      <family val="1"/>
    </font>
    <font>
      <b/>
      <sz val="12"/>
      <color rgb="FFFFFFFF"/>
      <name val="Times New Roman"/>
      <family val="1"/>
    </font>
    <font>
      <b/>
      <u/>
      <sz val="12"/>
      <color rgb="FF000000"/>
      <name val="Times New Roman"/>
      <family val="1"/>
    </font>
    <font>
      <b/>
      <u/>
      <sz val="12"/>
      <name val="Times New Roman"/>
      <family val="1"/>
    </font>
    <font>
      <sz val="12"/>
      <name val="Times New Roman"/>
      <family val="1"/>
    </font>
    <font>
      <b/>
      <sz val="12"/>
      <name val="Times New Roman"/>
      <family val="1"/>
    </font>
    <font>
      <b/>
      <sz val="12"/>
      <color rgb="FF000000"/>
      <name val="Times New Roman"/>
      <family val="1"/>
    </font>
    <font>
      <sz val="12"/>
      <color theme="1"/>
      <name val="Times New Roman"/>
      <family val="1"/>
    </font>
    <font>
      <b/>
      <i/>
      <sz val="12"/>
      <name val="Times New Roman"/>
      <family val="1"/>
    </font>
    <font>
      <i/>
      <sz val="12"/>
      <name val="Times New Roman"/>
      <family val="1"/>
    </font>
    <font>
      <sz val="12"/>
      <color rgb="FF000000"/>
      <name val="Times New Roman"/>
      <family val="1"/>
    </font>
    <font>
      <b/>
      <sz val="12"/>
      <color theme="1"/>
      <name val="Times New Roman"/>
      <family val="1"/>
    </font>
    <font>
      <b/>
      <i/>
      <sz val="12"/>
      <color rgb="FF000000"/>
      <name val="Times New Roman"/>
      <family val="1"/>
    </font>
    <font>
      <b/>
      <i/>
      <sz val="12"/>
      <color theme="1"/>
      <name val="Times New Roman"/>
      <family val="1"/>
    </font>
    <font>
      <b/>
      <sz val="12"/>
      <color rgb="FFFF0000"/>
      <name val="Times New Roman"/>
      <family val="1"/>
    </font>
    <font>
      <i/>
      <sz val="12"/>
      <color rgb="FF000000"/>
      <name val="Times New Roman"/>
      <family val="1"/>
    </font>
    <font>
      <b/>
      <u/>
      <sz val="12"/>
      <color theme="1"/>
      <name val="Times New Roman"/>
      <family val="1"/>
    </font>
    <font>
      <i/>
      <sz val="12"/>
      <color theme="1"/>
      <name val="Times New Roman"/>
      <family val="1"/>
    </font>
    <font>
      <sz val="12"/>
      <color theme="1"/>
      <name val="Times New Roman"/>
      <family val="1"/>
    </font>
    <font>
      <b/>
      <sz val="12"/>
      <color theme="1"/>
      <name val="Times New Roman"/>
      <family val="1"/>
    </font>
    <font>
      <i/>
      <sz val="12"/>
      <color theme="1"/>
      <name val="Times New Roman"/>
      <family val="1"/>
    </font>
    <font>
      <sz val="12"/>
      <color rgb="FFFFFFFF"/>
      <name val="Times New Roman"/>
      <family val="1"/>
    </font>
    <font>
      <b/>
      <sz val="12"/>
      <name val="Times New Roman"/>
      <family val="1"/>
    </font>
    <font>
      <sz val="12"/>
      <name val="Times New Roman"/>
      <family val="1"/>
    </font>
    <font>
      <b/>
      <sz val="12"/>
      <color rgb="FF000000"/>
      <name val="Times New Roman"/>
      <family val="1"/>
    </font>
    <font>
      <sz val="12"/>
      <color rgb="FF0C0C0C"/>
      <name val="Times New Roman"/>
      <family val="1"/>
    </font>
    <font>
      <b/>
      <sz val="12"/>
      <color rgb="FFFF0000"/>
      <name val="Times New Roman"/>
      <family val="1"/>
    </font>
    <font>
      <sz val="12"/>
      <color rgb="FFFF0000"/>
      <name val="Times New Roman"/>
      <family val="1"/>
    </font>
    <font>
      <sz val="12"/>
      <color rgb="FF000000"/>
      <name val="Times New Roman"/>
      <family val="1"/>
    </font>
    <font>
      <u/>
      <sz val="12"/>
      <color theme="1"/>
      <name val="Times New Roman"/>
      <family val="1"/>
    </font>
    <font>
      <b/>
      <u val="double"/>
      <sz val="12"/>
      <color rgb="FF000000"/>
      <name val="Times New Roman"/>
      <family val="1"/>
    </font>
    <font>
      <u/>
      <sz val="12"/>
      <color theme="10"/>
      <name val="Times New Roman"/>
      <family val="1"/>
    </font>
    <font>
      <b/>
      <u/>
      <sz val="12"/>
      <color theme="1"/>
      <name val="Times New Roman"/>
      <family val="1"/>
    </font>
    <font>
      <i/>
      <sz val="12"/>
      <name val="Times New Roman"/>
      <family val="1"/>
    </font>
    <font>
      <sz val="12"/>
      <color rgb="FF7F7F7F"/>
      <name val="Times New Roman"/>
      <family val="1"/>
    </font>
    <font>
      <b/>
      <u/>
      <sz val="12"/>
      <name val="Times New Roman"/>
      <family val="1"/>
    </font>
    <font>
      <i/>
      <sz val="12"/>
      <color rgb="FF666666"/>
      <name val="Times New Roman"/>
      <family val="1"/>
    </font>
    <font>
      <sz val="10"/>
      <name val="Times New Roman"/>
      <family val="1"/>
    </font>
    <font>
      <sz val="9"/>
      <name val="Times New Roman"/>
      <family val="1"/>
    </font>
    <font>
      <sz val="9"/>
      <name val="Calibri"/>
      <family val="3"/>
      <charset val="134"/>
      <scheme val="minor"/>
    </font>
    <font>
      <sz val="8"/>
      <color theme="1"/>
      <name val="Tahoma"/>
      <family val="2"/>
    </font>
    <font>
      <b/>
      <sz val="9"/>
      <color indexed="81"/>
      <name val="Tahoma"/>
      <family val="2"/>
    </font>
    <font>
      <b/>
      <sz val="12"/>
      <color theme="1"/>
      <name val="Calibri"/>
      <family val="2"/>
      <scheme val="minor"/>
    </font>
    <font>
      <b/>
      <sz val="14"/>
      <color theme="1"/>
      <name val="Calibri (Body)"/>
    </font>
    <font>
      <sz val="12"/>
      <name val="Calibri"/>
      <family val="2"/>
    </font>
    <font>
      <sz val="12"/>
      <color rgb="FF000000"/>
      <name val="Calibri"/>
      <family val="2"/>
      <scheme val="minor"/>
    </font>
    <font>
      <b/>
      <sz val="12"/>
      <color rgb="FF000000"/>
      <name val="Calibri"/>
      <family val="2"/>
      <scheme val="minor"/>
    </font>
  </fonts>
  <fills count="65">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rgb="FFC0C0C0"/>
        <bgColor rgb="FFC0C0C0"/>
      </patternFill>
    </fill>
    <fill>
      <patternFill patternType="solid">
        <fgColor rgb="FFD9EAD3"/>
        <bgColor rgb="FFD9EAD3"/>
      </patternFill>
    </fill>
    <fill>
      <patternFill patternType="solid">
        <fgColor rgb="FFD9D9D9"/>
        <bgColor rgb="FFD9D9D9"/>
      </patternFill>
    </fill>
    <fill>
      <patternFill patternType="solid">
        <fgColor theme="1"/>
        <bgColor indexed="64"/>
      </patternFill>
    </fill>
    <fill>
      <patternFill patternType="solid">
        <fgColor rgb="FFD7E3BC"/>
        <bgColor indexed="64"/>
      </patternFill>
    </fill>
    <fill>
      <patternFill patternType="solid">
        <fgColor rgb="FFF3F3F3"/>
        <bgColor rgb="FFF3F3F3"/>
      </patternFill>
    </fill>
    <fill>
      <patternFill patternType="solid">
        <fgColor rgb="FFB7B7B7"/>
        <bgColor rgb="FFB7B7B7"/>
      </patternFill>
    </fill>
    <fill>
      <patternFill patternType="solid">
        <fgColor rgb="FFCFE2F3"/>
        <bgColor rgb="FFCFE2F3"/>
      </patternFill>
    </fill>
    <fill>
      <patternFill patternType="solid">
        <fgColor rgb="FFCCCCCC"/>
        <bgColor rgb="FFCCCCCC"/>
      </patternFill>
    </fill>
    <fill>
      <patternFill patternType="solid">
        <fgColor rgb="FFEFEFEF"/>
        <bgColor rgb="FFEFEFEF"/>
      </patternFill>
    </fill>
    <fill>
      <patternFill patternType="solid">
        <fgColor rgb="FFEA9999"/>
        <bgColor rgb="FFEA9999"/>
      </patternFill>
    </fill>
    <fill>
      <patternFill patternType="solid">
        <fgColor rgb="FFD8D8D8"/>
        <bgColor indexed="64"/>
      </patternFill>
    </fill>
    <fill>
      <patternFill patternType="solid">
        <fgColor rgb="FFFBD5B5"/>
        <bgColor indexed="64"/>
      </patternFill>
    </fill>
    <fill>
      <patternFill patternType="solid">
        <fgColor rgb="FFFDEADA"/>
        <bgColor indexed="64"/>
      </patternFill>
    </fill>
    <fill>
      <patternFill patternType="solid">
        <fgColor rgb="FFEBF1DD"/>
        <bgColor indexed="64"/>
      </patternFill>
    </fill>
    <fill>
      <patternFill patternType="solid">
        <fgColor rgb="FFB8CCE4"/>
        <bgColor indexed="64"/>
      </patternFill>
    </fill>
    <fill>
      <patternFill patternType="solid">
        <fgColor rgb="FFDBE5F1"/>
        <bgColor indexed="64"/>
      </patternFill>
    </fill>
    <fill>
      <patternFill patternType="solid">
        <fgColor rgb="FFF2F2F2"/>
        <bgColor indexed="64"/>
      </patternFill>
    </fill>
    <fill>
      <patternFill patternType="solid">
        <fgColor rgb="FFE5B9B7"/>
        <bgColor indexed="64"/>
      </patternFill>
    </fill>
    <fill>
      <patternFill patternType="solid">
        <fgColor rgb="FF366092"/>
        <bgColor indexed="64"/>
      </patternFill>
    </fill>
    <fill>
      <patternFill patternType="solid">
        <fgColor rgb="FFBFBFBF"/>
        <bgColor indexed="64"/>
      </patternFill>
    </fill>
    <fill>
      <patternFill patternType="solid">
        <fgColor rgb="FFFFFFFF"/>
        <bgColor indexed="64"/>
      </patternFill>
    </fill>
    <fill>
      <patternFill patternType="solid">
        <fgColor rgb="FF1F497D"/>
        <bgColor indexed="64"/>
      </patternFill>
    </fill>
    <fill>
      <patternFill patternType="solid">
        <fgColor indexed="22"/>
        <bgColor indexed="64"/>
      </patternFill>
    </fill>
    <fill>
      <patternFill patternType="solid">
        <fgColor theme="0" tint="-0.249977111117893"/>
        <bgColor indexed="64"/>
      </patternFill>
    </fill>
    <fill>
      <patternFill patternType="solid">
        <fgColor rgb="FFB6D7A8"/>
        <bgColor rgb="FFB6D7A8"/>
      </patternFill>
    </fill>
    <fill>
      <patternFill patternType="solid">
        <fgColor rgb="FF999999"/>
        <bgColor rgb="FF999999"/>
      </patternFill>
    </fill>
    <fill>
      <patternFill patternType="solid">
        <fgColor rgb="FF93C47D"/>
        <bgColor rgb="FF93C47D"/>
      </patternFill>
    </fill>
    <fill>
      <patternFill patternType="solid">
        <fgColor rgb="FFD9D2E9"/>
        <bgColor rgb="FFD9D2E9"/>
      </patternFill>
    </fill>
    <fill>
      <patternFill patternType="solid">
        <fgColor rgb="FFA4C2F4"/>
        <bgColor rgb="FFA4C2F4"/>
      </patternFill>
    </fill>
    <fill>
      <patternFill patternType="solid">
        <fgColor rgb="FFB7E1CD"/>
        <bgColor rgb="FFB7E1CD"/>
      </patternFill>
    </fill>
    <fill>
      <patternFill patternType="solid">
        <fgColor rgb="FFD5A6BD"/>
        <bgColor rgb="FFD5A6BD"/>
      </patternFill>
    </fill>
    <fill>
      <patternFill patternType="solid">
        <fgColor rgb="FF38761D"/>
        <bgColor rgb="FF38761D"/>
      </patternFill>
    </fill>
    <fill>
      <patternFill patternType="solid">
        <fgColor rgb="FF990000"/>
        <bgColor rgb="FF990000"/>
      </patternFill>
    </fill>
    <fill>
      <patternFill patternType="solid">
        <fgColor rgb="FF3D85C6"/>
        <bgColor rgb="FF3D85C6"/>
      </patternFill>
    </fill>
    <fill>
      <patternFill patternType="solid">
        <fgColor rgb="FFB4A7D6"/>
        <bgColor rgb="FFB4A7D6"/>
      </patternFill>
    </fill>
    <fill>
      <patternFill patternType="solid">
        <fgColor rgb="FFFF9900"/>
        <bgColor rgb="FFFF9900"/>
      </patternFill>
    </fill>
    <fill>
      <patternFill patternType="solid">
        <fgColor rgb="FFE06666"/>
        <bgColor rgb="FFE06666"/>
      </patternFill>
    </fill>
    <fill>
      <patternFill patternType="solid">
        <fgColor rgb="FF9FC5E8"/>
        <bgColor rgb="FF9FC5E8"/>
      </patternFill>
    </fill>
    <fill>
      <patternFill patternType="solid">
        <fgColor rgb="FFDBECF0"/>
        <bgColor rgb="FFDBECF0"/>
      </patternFill>
    </fill>
    <fill>
      <patternFill patternType="solid">
        <fgColor rgb="FFD0E0E3"/>
        <bgColor rgb="FFD0E0E3"/>
      </patternFill>
    </fill>
    <fill>
      <patternFill patternType="solid">
        <fgColor rgb="FFEAD1DC"/>
        <bgColor rgb="FFEAD1DC"/>
      </patternFill>
    </fill>
    <fill>
      <patternFill patternType="solid">
        <fgColor rgb="FFE6B8AF"/>
        <bgColor rgb="FFE6B8AF"/>
      </patternFill>
    </fill>
    <fill>
      <patternFill patternType="solid">
        <fgColor rgb="FFFF0000"/>
        <bgColor indexed="64"/>
      </patternFill>
    </fill>
    <fill>
      <patternFill patternType="solid">
        <fgColor rgb="FF000000"/>
        <bgColor rgb="FF000000"/>
      </patternFill>
    </fill>
    <fill>
      <patternFill patternType="solid">
        <fgColor rgb="FF000000"/>
        <bgColor indexed="64"/>
      </patternFill>
    </fill>
    <fill>
      <patternFill patternType="solid">
        <fgColor rgb="FFC3D69B"/>
        <bgColor indexed="64"/>
      </patternFill>
    </fill>
    <fill>
      <patternFill patternType="solid">
        <fgColor rgb="FFC6D9F0"/>
        <bgColor indexed="64"/>
      </patternFill>
    </fill>
    <fill>
      <patternFill patternType="solid">
        <fgColor rgb="FF5F497A"/>
        <bgColor indexed="64"/>
      </patternFill>
    </fill>
    <fill>
      <patternFill patternType="solid">
        <fgColor rgb="FFCCC1D9"/>
        <bgColor indexed="64"/>
      </patternFill>
    </fill>
    <fill>
      <patternFill patternType="solid">
        <fgColor rgb="FFE5E0EC"/>
        <bgColor indexed="64"/>
      </patternFill>
    </fill>
    <fill>
      <patternFill patternType="solid">
        <fgColor rgb="FFEEECE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rgb="FFFFFF00"/>
      </patternFill>
    </fill>
    <fill>
      <patternFill patternType="solid">
        <fgColor rgb="FFFFFF00"/>
        <bgColor rgb="FFD9D9D9"/>
      </patternFill>
    </fill>
    <fill>
      <patternFill patternType="solid">
        <fgColor rgb="FFFFFF00"/>
        <bgColor rgb="FFD9EAD3"/>
      </patternFill>
    </fill>
    <fill>
      <patternFill patternType="solid">
        <fgColor rgb="FFFFFF00"/>
        <bgColor rgb="FFCFE2F3"/>
      </patternFill>
    </fill>
    <fill>
      <patternFill patternType="solid">
        <fgColor theme="0"/>
        <bgColor indexed="64"/>
      </patternFill>
    </fill>
    <fill>
      <patternFill patternType="solid">
        <fgColor theme="9" tint="0.59999389629810485"/>
        <bgColor rgb="FFD9D9D9"/>
      </patternFill>
    </fill>
  </fills>
  <borders count="53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ck">
        <color auto="1"/>
      </right>
      <top/>
      <bottom/>
      <diagonal/>
    </border>
    <border>
      <left/>
      <right style="thick">
        <color auto="1"/>
      </right>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right style="medium">
        <color rgb="FF000000"/>
      </right>
      <top style="double">
        <color rgb="FF000000"/>
      </top>
      <bottom style="medium">
        <color rgb="FF000000"/>
      </bottom>
      <diagonal/>
    </border>
    <border>
      <left/>
      <right style="dotted">
        <color rgb="FF000000"/>
      </right>
      <top style="double">
        <color rgb="FF000000"/>
      </top>
      <bottom style="medium">
        <color rgb="FF000000"/>
      </bottom>
      <diagonal/>
    </border>
    <border>
      <left style="medium">
        <color rgb="FF000000"/>
      </left>
      <right style="thin">
        <color rgb="FF000000"/>
      </right>
      <top style="double">
        <color rgb="FF000000"/>
      </top>
      <bottom style="medium">
        <color rgb="FF000000"/>
      </bottom>
      <diagonal/>
    </border>
    <border>
      <left style="dotted">
        <color rgb="FF000000"/>
      </left>
      <right style="medium">
        <color rgb="FF000000"/>
      </right>
      <top/>
      <bottom/>
      <diagonal/>
    </border>
    <border>
      <left style="dotted">
        <color rgb="FF000000"/>
      </left>
      <right style="dotted">
        <color rgb="FF000000"/>
      </right>
      <top/>
      <bottom/>
      <diagonal/>
    </border>
    <border>
      <left/>
      <right style="dotted">
        <color rgb="FF000000"/>
      </right>
      <top/>
      <bottom/>
      <diagonal/>
    </border>
    <border>
      <left style="medium">
        <color rgb="FF000000"/>
      </left>
      <right style="thin">
        <color rgb="FF000000"/>
      </right>
      <top style="thin">
        <color rgb="FFD9D9D9"/>
      </top>
      <bottom/>
      <diagonal/>
    </border>
    <border>
      <left/>
      <right style="medium">
        <color rgb="FF000000"/>
      </right>
      <top/>
      <bottom style="thin">
        <color rgb="FF000000"/>
      </bottom>
      <diagonal/>
    </border>
    <border>
      <left/>
      <right style="dotted">
        <color rgb="FF000000"/>
      </right>
      <top/>
      <bottom style="thin">
        <color rgb="FF000000"/>
      </bottom>
      <diagonal/>
    </border>
    <border>
      <left style="medium">
        <color rgb="FF000000"/>
      </left>
      <right style="thin">
        <color rgb="FF000000"/>
      </right>
      <top style="thin">
        <color rgb="FFD9D9D9"/>
      </top>
      <bottom style="thin">
        <color rgb="FFD9D9D9"/>
      </bottom>
      <diagonal/>
    </border>
    <border>
      <left/>
      <right style="medium">
        <color rgb="FF000000"/>
      </right>
      <top/>
      <bottom/>
      <diagonal/>
    </border>
    <border>
      <left style="medium">
        <color rgb="FF000000"/>
      </left>
      <right style="thin">
        <color rgb="FF000000"/>
      </right>
      <top/>
      <bottom style="thin">
        <color rgb="FFD9D9D9"/>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double">
        <color rgb="FF000000"/>
      </top>
      <bottom/>
      <diagonal/>
    </border>
    <border>
      <left style="medium">
        <color rgb="FF000000"/>
      </left>
      <right style="thin">
        <color rgb="FF000000"/>
      </right>
      <top/>
      <bottom/>
      <diagonal/>
    </border>
    <border>
      <left style="dotted">
        <color rgb="FF000000"/>
      </left>
      <right style="medium">
        <color rgb="FF000000"/>
      </right>
      <top style="thin">
        <color rgb="FFD9D9D9"/>
      </top>
      <bottom/>
      <diagonal/>
    </border>
    <border>
      <left style="dotted">
        <color rgb="FF000000"/>
      </left>
      <right style="dotted">
        <color rgb="FF000000"/>
      </right>
      <top style="thin">
        <color rgb="FFD9D9D9"/>
      </top>
      <bottom/>
      <diagonal/>
    </border>
    <border>
      <left/>
      <right style="dotted">
        <color rgb="FF000000"/>
      </right>
      <top style="thin">
        <color rgb="FFD9D9D9"/>
      </top>
      <bottom/>
      <diagonal/>
    </border>
    <border>
      <left style="dotted">
        <color rgb="FF000000"/>
      </left>
      <right style="medium">
        <color rgb="FF000000"/>
      </right>
      <top style="thin">
        <color rgb="FFD9D9D9"/>
      </top>
      <bottom style="thin">
        <color rgb="FFD9D9D9"/>
      </bottom>
      <diagonal/>
    </border>
    <border>
      <left style="dotted">
        <color rgb="FF000000"/>
      </left>
      <right style="dotted">
        <color rgb="FF000000"/>
      </right>
      <top style="thin">
        <color rgb="FFD9D9D9"/>
      </top>
      <bottom style="thin">
        <color rgb="FFD9D9D9"/>
      </bottom>
      <diagonal/>
    </border>
    <border>
      <left/>
      <right style="dotted">
        <color rgb="FF000000"/>
      </right>
      <top style="thin">
        <color rgb="FFD9D9D9"/>
      </top>
      <bottom style="thin">
        <color rgb="FFD9D9D9"/>
      </bottom>
      <diagonal/>
    </border>
    <border>
      <left style="thin">
        <color rgb="FFB7B7B7"/>
      </left>
      <right style="thin">
        <color rgb="FFB7B7B7"/>
      </right>
      <top style="thin">
        <color rgb="FFB7B7B7"/>
      </top>
      <bottom style="thin">
        <color rgb="FFB7B7B7"/>
      </bottom>
      <diagonal/>
    </border>
    <border>
      <left style="medium">
        <color rgb="FF000000"/>
      </left>
      <right style="thin">
        <color rgb="FF000000"/>
      </right>
      <top style="medium">
        <color rgb="FF000000"/>
      </top>
      <bottom/>
      <diagonal/>
    </border>
    <border>
      <left style="dotted">
        <color rgb="FF000000"/>
      </left>
      <right style="medium">
        <color rgb="FF000000"/>
      </right>
      <top style="thin">
        <color rgb="FF000000"/>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medium">
        <color rgb="FF000000"/>
      </right>
      <top/>
      <bottom style="thin">
        <color rgb="FFD9D9D9"/>
      </bottom>
      <diagonal/>
    </border>
    <border>
      <left style="dotted">
        <color rgb="FF000000"/>
      </left>
      <right style="dotted">
        <color rgb="FF000000"/>
      </right>
      <top/>
      <bottom style="thin">
        <color rgb="FFD9D9D9"/>
      </bottom>
      <diagonal/>
    </border>
    <border>
      <left/>
      <right style="dotted">
        <color rgb="FF000000"/>
      </right>
      <top/>
      <bottom style="thin">
        <color rgb="FFD9D9D9"/>
      </bottom>
      <diagonal/>
    </border>
    <border>
      <left style="dotted">
        <color rgb="FF000000"/>
      </left>
      <right style="medium">
        <color rgb="FF000000"/>
      </right>
      <top/>
      <bottom style="thin">
        <color rgb="FF000000"/>
      </bottom>
      <diagonal/>
    </border>
    <border>
      <left style="dotted">
        <color rgb="FF000000"/>
      </left>
      <right style="dotted">
        <color rgb="FF000000"/>
      </right>
      <top/>
      <bottom style="thin">
        <color rgb="FF000000"/>
      </bottom>
      <diagonal/>
    </border>
    <border>
      <left style="medium">
        <color rgb="FF000000"/>
      </left>
      <right style="thin">
        <color rgb="FF000000"/>
      </right>
      <top/>
      <bottom style="medium">
        <color rgb="FF000000"/>
      </bottom>
      <diagonal/>
    </border>
    <border>
      <left/>
      <right style="dotted">
        <color rgb="FF000000"/>
      </right>
      <top style="thin">
        <color rgb="FFD9D9D9"/>
      </top>
      <bottom style="double">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style="medium">
        <color rgb="FF000000"/>
      </bottom>
      <diagonal/>
    </border>
    <border>
      <left/>
      <right style="medium">
        <color rgb="FF000000"/>
      </right>
      <top style="thin">
        <color rgb="FFD9D9D9"/>
      </top>
      <bottom style="medium">
        <color rgb="FF000000"/>
      </bottom>
      <diagonal/>
    </border>
    <border>
      <left style="dotted">
        <color rgb="FF000000"/>
      </left>
      <right style="dotted">
        <color rgb="FF000000"/>
      </right>
      <top style="thin">
        <color rgb="FFD9D9D9"/>
      </top>
      <bottom style="medium">
        <color rgb="FF000000"/>
      </bottom>
      <diagonal/>
    </border>
    <border>
      <left/>
      <right style="dotted">
        <color rgb="FF000000"/>
      </right>
      <top style="thin">
        <color rgb="FFD9D9D9"/>
      </top>
      <bottom style="medium">
        <color rgb="FF000000"/>
      </bottom>
      <diagonal/>
    </border>
    <border>
      <left style="medium">
        <color rgb="FF000000"/>
      </left>
      <right style="thin">
        <color rgb="FF000000"/>
      </right>
      <top style="thin">
        <color rgb="FFD9D9D9"/>
      </top>
      <bottom style="medium">
        <color rgb="FF000000"/>
      </bottom>
      <diagonal/>
    </border>
    <border>
      <left/>
      <right style="medium">
        <color rgb="FF000000"/>
      </right>
      <top/>
      <bottom style="thin">
        <color rgb="FFD9D9D9"/>
      </bottom>
      <diagonal/>
    </border>
    <border>
      <left/>
      <right style="medium">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D9D9D9"/>
      </top>
      <bottom/>
      <diagonal/>
    </border>
    <border>
      <left/>
      <right/>
      <top style="double">
        <color rgb="FF000000"/>
      </top>
      <bottom style="thin">
        <color rgb="FF000000"/>
      </bottom>
      <diagonal/>
    </border>
    <border>
      <left/>
      <right style="medium">
        <color rgb="FF000000"/>
      </right>
      <top style="thin">
        <color rgb="FFD9D9D9"/>
      </top>
      <bottom style="thin">
        <color rgb="FFD9D9D9"/>
      </bottom>
      <diagonal/>
    </border>
    <border>
      <left style="medium">
        <color rgb="FF000000"/>
      </left>
      <right style="medium">
        <color rgb="FF000000"/>
      </right>
      <top style="double">
        <color rgb="FF000000"/>
      </top>
      <bottom/>
      <diagonal/>
    </border>
    <border>
      <left style="thin">
        <color rgb="FFD9D9D9"/>
      </left>
      <right style="thin">
        <color rgb="FFD9D9D9"/>
      </right>
      <top style="thin">
        <color rgb="FFD9D9D9"/>
      </top>
      <bottom style="thin">
        <color rgb="FF000000"/>
      </bottom>
      <diagonal/>
    </border>
    <border>
      <left style="thin">
        <color rgb="FFD9D9D9"/>
      </left>
      <right style="thin">
        <color rgb="FFD9D9D9"/>
      </right>
      <top style="thin">
        <color rgb="FFD9D9D9"/>
      </top>
      <bottom/>
      <diagonal/>
    </border>
    <border>
      <left/>
      <right style="thin">
        <color rgb="FFD9D9D9"/>
      </right>
      <top style="thin">
        <color rgb="FFD9D9D9"/>
      </top>
      <bottom/>
      <diagonal/>
    </border>
    <border>
      <left style="thin">
        <color rgb="FFD9D9D9"/>
      </left>
      <right style="medium">
        <color rgb="FF000000"/>
      </right>
      <top style="thin">
        <color rgb="FFD9D9D9"/>
      </top>
      <bottom/>
      <diagonal/>
    </border>
    <border>
      <left style="thin">
        <color rgb="FFD9D9D9"/>
      </left>
      <right style="medium">
        <color rgb="FF000000"/>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medium">
        <color rgb="FF000000"/>
      </right>
      <top/>
      <bottom style="thin">
        <color rgb="FFD9D9D9"/>
      </bottom>
      <diagonal/>
    </border>
    <border>
      <left style="thin">
        <color rgb="FFD9D9D9"/>
      </left>
      <right style="thin">
        <color rgb="FFD9D9D9"/>
      </right>
      <top/>
      <bottom style="thin">
        <color rgb="FFD9D9D9"/>
      </bottom>
      <diagonal/>
    </border>
    <border>
      <left/>
      <right style="thin">
        <color rgb="FFD9D9D9"/>
      </right>
      <top/>
      <bottom style="thin">
        <color rgb="FFD9D9D9"/>
      </bottom>
      <diagonal/>
    </border>
    <border>
      <left/>
      <right/>
      <top style="thin">
        <color rgb="FFD9D9D9"/>
      </top>
      <bottom/>
      <diagonal/>
    </border>
    <border>
      <left/>
      <right/>
      <top style="thin">
        <color rgb="FFD9D9D9"/>
      </top>
      <bottom style="thin">
        <color rgb="FFD9D9D9"/>
      </bottom>
      <diagonal/>
    </border>
    <border>
      <left/>
      <right/>
      <top/>
      <bottom style="thin">
        <color rgb="FFD9D9D9"/>
      </bottom>
      <diagonal/>
    </border>
    <border>
      <left/>
      <right style="dotted">
        <color rgb="FF000000"/>
      </right>
      <top style="thin">
        <color rgb="FF000000"/>
      </top>
      <bottom style="thin">
        <color rgb="FF000000"/>
      </bottom>
      <diagonal/>
    </border>
    <border>
      <left style="dotted">
        <color rgb="FF000000"/>
      </left>
      <right style="dotted">
        <color rgb="FF000000"/>
      </right>
      <top style="medium">
        <color rgb="FF000000"/>
      </top>
      <bottom style="thin">
        <color rgb="FF000000"/>
      </bottom>
      <diagonal/>
    </border>
    <border>
      <left/>
      <right style="dotted">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dotted">
        <color rgb="FF000000"/>
      </left>
      <right style="dotted">
        <color rgb="FF000000"/>
      </right>
      <top style="thin">
        <color rgb="FFCCCCCC"/>
      </top>
      <bottom/>
      <diagonal/>
    </border>
    <border>
      <left style="thin">
        <color rgb="FFD9D9D9"/>
      </left>
      <right style="dotted">
        <color rgb="FF000000"/>
      </right>
      <top style="thin">
        <color rgb="FFCCCCCC"/>
      </top>
      <bottom/>
      <diagonal/>
    </border>
    <border>
      <left/>
      <right style="thin">
        <color rgb="FFD9D9D9"/>
      </right>
      <top style="thin">
        <color rgb="FFCCCCCC"/>
      </top>
      <bottom/>
      <diagonal/>
    </border>
    <border>
      <left style="dotted">
        <color rgb="FF000000"/>
      </left>
      <right style="dotted">
        <color rgb="FF000000"/>
      </right>
      <top style="thin">
        <color rgb="FFCCCCCC"/>
      </top>
      <bottom style="thin">
        <color rgb="FFCCCCCC"/>
      </bottom>
      <diagonal/>
    </border>
    <border>
      <left style="thin">
        <color rgb="FFD9D9D9"/>
      </left>
      <right style="dotted">
        <color rgb="FF000000"/>
      </right>
      <top style="thin">
        <color rgb="FFCCCCCC"/>
      </top>
      <bottom style="thin">
        <color rgb="FFCCCCCC"/>
      </bottom>
      <diagonal/>
    </border>
    <border>
      <left/>
      <right style="thin">
        <color rgb="FFD9D9D9"/>
      </right>
      <top style="thin">
        <color rgb="FFCCCCCC"/>
      </top>
      <bottom style="thin">
        <color rgb="FFCCCCCC"/>
      </bottom>
      <diagonal/>
    </border>
    <border>
      <left style="thin">
        <color rgb="FFD9D9D9"/>
      </left>
      <right style="thin">
        <color rgb="FFD9D9D9"/>
      </right>
      <top style="thin">
        <color rgb="FFCCCCCC"/>
      </top>
      <bottom style="thin">
        <color rgb="FFCCCCCC"/>
      </bottom>
      <diagonal/>
    </border>
    <border>
      <left/>
      <right style="dotted">
        <color rgb="FF000000"/>
      </right>
      <top style="thin">
        <color rgb="FFCCCCCC"/>
      </top>
      <bottom style="thin">
        <color rgb="FFCCCCCC"/>
      </bottom>
      <diagonal/>
    </border>
    <border>
      <left/>
      <right/>
      <top style="medium">
        <color rgb="FF000000"/>
      </top>
      <bottom style="medium">
        <color rgb="FF000000"/>
      </bottom>
      <diagonal/>
    </border>
    <border>
      <left style="dotted">
        <color rgb="FF000000"/>
      </left>
      <right style="dotted">
        <color rgb="FF000000"/>
      </right>
      <top/>
      <bottom style="thin">
        <color rgb="FFCCCCCC"/>
      </bottom>
      <diagonal/>
    </border>
    <border>
      <left/>
      <right style="dotted">
        <color rgb="FF000000"/>
      </right>
      <top/>
      <bottom style="thin">
        <color rgb="FFCCCCCC"/>
      </bottom>
      <diagonal/>
    </border>
    <border>
      <left style="dotted">
        <color rgb="FF000000"/>
      </left>
      <right/>
      <top/>
      <bottom/>
      <diagonal/>
    </border>
    <border>
      <left style="thin">
        <color rgb="FFF3F3F3"/>
      </left>
      <right style="thin">
        <color rgb="FFF3F3F3"/>
      </right>
      <top style="thin">
        <color rgb="FF000000"/>
      </top>
      <bottom/>
      <diagonal/>
    </border>
    <border>
      <left/>
      <right style="thin">
        <color rgb="FFF3F3F3"/>
      </right>
      <top style="thin">
        <color rgb="FF000000"/>
      </top>
      <bottom/>
      <diagonal/>
    </border>
    <border>
      <left style="dotted">
        <color rgb="FF000000"/>
      </left>
      <right/>
      <top style="thin">
        <color rgb="FFD9D9D9"/>
      </top>
      <bottom/>
      <diagonal/>
    </border>
    <border>
      <left style="dotted">
        <color rgb="FF000000"/>
      </left>
      <right/>
      <top style="thin">
        <color rgb="FFD9D9D9"/>
      </top>
      <bottom style="thin">
        <color rgb="FFD9D9D9"/>
      </bottom>
      <diagonal/>
    </border>
    <border>
      <left style="thin">
        <color rgb="FFF3F3F3"/>
      </left>
      <right style="thin">
        <color rgb="FFF3F3F3"/>
      </right>
      <top style="thin">
        <color rgb="FF000000"/>
      </top>
      <bottom style="thin">
        <color rgb="FFD9D9D9"/>
      </bottom>
      <diagonal/>
    </border>
    <border>
      <left/>
      <right style="thin">
        <color rgb="FFF3F3F3"/>
      </right>
      <top style="thin">
        <color rgb="FF000000"/>
      </top>
      <bottom style="thin">
        <color rgb="FFD9D9D9"/>
      </bottom>
      <diagonal/>
    </border>
    <border>
      <left style="medium">
        <color rgb="FF000000"/>
      </left>
      <right style="thin">
        <color rgb="FF000000"/>
      </right>
      <top style="thin">
        <color rgb="FF000000"/>
      </top>
      <bottom style="double">
        <color rgb="FF000000"/>
      </bottom>
      <diagonal/>
    </border>
    <border>
      <left style="thin">
        <color rgb="FFF3F3F3"/>
      </left>
      <right style="thin">
        <color rgb="FFF3F3F3"/>
      </right>
      <top/>
      <bottom style="thin">
        <color rgb="FFD9D9D9"/>
      </bottom>
      <diagonal/>
    </border>
    <border>
      <left/>
      <right style="thin">
        <color rgb="FFF3F3F3"/>
      </right>
      <top/>
      <bottom style="thin">
        <color rgb="FFD9D9D9"/>
      </bottom>
      <diagonal/>
    </border>
    <border>
      <left style="thin">
        <color rgb="FFD9D9D9"/>
      </left>
      <right style="medium">
        <color rgb="FF000000"/>
      </right>
      <top style="double">
        <color rgb="FF000000"/>
      </top>
      <bottom style="medium">
        <color rgb="FF000000"/>
      </bottom>
      <diagonal/>
    </border>
    <border>
      <left style="thin">
        <color rgb="FFD9D9D9"/>
      </left>
      <right style="thin">
        <color rgb="FFD9D9D9"/>
      </right>
      <top style="double">
        <color rgb="FF000000"/>
      </top>
      <bottom style="medium">
        <color rgb="FF000000"/>
      </bottom>
      <diagonal/>
    </border>
    <border>
      <left/>
      <right style="thin">
        <color rgb="FFD9D9D9"/>
      </right>
      <top style="double">
        <color rgb="FF000000"/>
      </top>
      <bottom style="medium">
        <color rgb="FF000000"/>
      </bottom>
      <diagonal/>
    </border>
    <border>
      <left style="thick">
        <color auto="1"/>
      </left>
      <right/>
      <top style="thick">
        <color auto="1"/>
      </top>
      <bottom style="thick">
        <color auto="1"/>
      </bottom>
      <diagonal/>
    </border>
    <border>
      <left/>
      <right/>
      <top style="thick">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medium">
        <color rgb="FF000000"/>
      </left>
      <right/>
      <top style="thin">
        <color auto="1"/>
      </top>
      <bottom/>
      <diagonal/>
    </border>
    <border>
      <left/>
      <right style="medium">
        <color rgb="FF000000"/>
      </right>
      <top style="thin">
        <color auto="1"/>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ck">
        <color auto="1"/>
      </left>
      <right style="thin">
        <color auto="1"/>
      </right>
      <top style="thick">
        <color auto="1"/>
      </top>
      <bottom style="thick">
        <color auto="1"/>
      </bottom>
      <diagonal/>
    </border>
    <border>
      <left/>
      <right style="dotted">
        <color rgb="FF000000"/>
      </right>
      <top style="thick">
        <color auto="1"/>
      </top>
      <bottom style="thin">
        <color rgb="FF000000"/>
      </bottom>
      <diagonal/>
    </border>
    <border>
      <left style="dotted">
        <color rgb="FF000000"/>
      </left>
      <right style="dotted">
        <color rgb="FF000000"/>
      </right>
      <top style="thick">
        <color auto="1"/>
      </top>
      <bottom style="thin">
        <color rgb="FF000000"/>
      </bottom>
      <diagonal/>
    </border>
    <border>
      <left style="dotted">
        <color rgb="FF000000"/>
      </left>
      <right style="thick">
        <color auto="1"/>
      </right>
      <top style="thick">
        <color auto="1"/>
      </top>
      <bottom style="thin">
        <color rgb="FF000000"/>
      </bottom>
      <diagonal/>
    </border>
    <border>
      <left style="thick">
        <color auto="1"/>
      </left>
      <right style="thin">
        <color rgb="FF000000"/>
      </right>
      <top/>
      <bottom style="thin">
        <color rgb="FF000000"/>
      </bottom>
      <diagonal/>
    </border>
    <border>
      <left style="dotted">
        <color rgb="FF000000"/>
      </left>
      <right style="thick">
        <color auto="1"/>
      </right>
      <top/>
      <bottom style="thin">
        <color rgb="FFCCCCCC"/>
      </bottom>
      <diagonal/>
    </border>
    <border>
      <left style="thick">
        <color auto="1"/>
      </left>
      <right style="thin">
        <color rgb="FF000000"/>
      </right>
      <top style="thin">
        <color rgb="FF000000"/>
      </top>
      <bottom style="thin">
        <color rgb="FF000000"/>
      </bottom>
      <diagonal/>
    </border>
    <border>
      <left style="dotted">
        <color rgb="FF000000"/>
      </left>
      <right style="thick">
        <color auto="1"/>
      </right>
      <top style="thin">
        <color rgb="FFCCCCCC"/>
      </top>
      <bottom style="thin">
        <color rgb="FFCCCCCC"/>
      </bottom>
      <diagonal/>
    </border>
    <border>
      <left style="thick">
        <color auto="1"/>
      </left>
      <right style="thin">
        <color rgb="FF000000"/>
      </right>
      <top style="thin">
        <color rgb="FF000000"/>
      </top>
      <bottom/>
      <diagonal/>
    </border>
    <border>
      <left style="dotted">
        <color rgb="FF000000"/>
      </left>
      <right style="thick">
        <color auto="1"/>
      </right>
      <top style="thin">
        <color rgb="FFCCCCCC"/>
      </top>
      <bottom/>
      <diagonal/>
    </border>
    <border>
      <left style="thick">
        <color auto="1"/>
      </left>
      <right style="thin">
        <color rgb="FF000000"/>
      </right>
      <top style="double">
        <color rgb="FF000000"/>
      </top>
      <bottom style="thick">
        <color auto="1"/>
      </bottom>
      <diagonal/>
    </border>
    <border>
      <left/>
      <right style="dotted">
        <color rgb="FF000000"/>
      </right>
      <top style="double">
        <color rgb="FF000000"/>
      </top>
      <bottom style="thick">
        <color auto="1"/>
      </bottom>
      <diagonal/>
    </border>
    <border>
      <left style="dotted">
        <color rgb="FF000000"/>
      </left>
      <right style="dotted">
        <color rgb="FF000000"/>
      </right>
      <top style="double">
        <color rgb="FF000000"/>
      </top>
      <bottom style="thick">
        <color auto="1"/>
      </bottom>
      <diagonal/>
    </border>
    <border>
      <left/>
      <right style="thin">
        <color auto="1"/>
      </right>
      <top style="thin">
        <color auto="1"/>
      </top>
      <bottom style="thick">
        <color auto="1"/>
      </bottom>
      <diagonal/>
    </border>
    <border>
      <left/>
      <right style="dotted">
        <color rgb="FF000000"/>
      </right>
      <top style="thin">
        <color rgb="FF000000"/>
      </top>
      <bottom style="thick">
        <color auto="1"/>
      </bottom>
      <diagonal/>
    </border>
    <border>
      <left style="dotted">
        <color rgb="FF000000"/>
      </left>
      <right style="dotted">
        <color rgb="FF000000"/>
      </right>
      <top style="thin">
        <color rgb="FF000000"/>
      </top>
      <bottom style="thick">
        <color auto="1"/>
      </bottom>
      <diagonal/>
    </border>
    <border>
      <left style="dotted">
        <color rgb="FF000000"/>
      </left>
      <right style="thick">
        <color auto="1"/>
      </right>
      <top style="thin">
        <color rgb="FF000000"/>
      </top>
      <bottom style="thick">
        <color auto="1"/>
      </bottom>
      <diagonal/>
    </border>
    <border>
      <left style="dotted">
        <color rgb="FF000000"/>
      </left>
      <right style="thick">
        <color auto="1"/>
      </right>
      <top/>
      <bottom style="thin">
        <color rgb="FF000000"/>
      </bottom>
      <diagonal/>
    </border>
    <border>
      <left/>
      <right style="dotted">
        <color rgb="FF000000"/>
      </right>
      <top/>
      <bottom style="thin">
        <color auto="1"/>
      </bottom>
      <diagonal/>
    </border>
    <border>
      <left/>
      <right/>
      <top/>
      <bottom style="thin">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right style="thin">
        <color rgb="FF000000"/>
      </right>
      <top style="medium">
        <color rgb="FF000000"/>
      </top>
      <bottom style="thin">
        <color rgb="FF000000"/>
      </bottom>
      <diagonal/>
    </border>
    <border>
      <left style="thick">
        <color auto="1"/>
      </left>
      <right style="thin">
        <color rgb="FF000000"/>
      </right>
      <top/>
      <bottom style="thin">
        <color auto="1"/>
      </bottom>
      <diagonal/>
    </border>
    <border>
      <left style="dotted">
        <color rgb="FF000000"/>
      </left>
      <right style="thick">
        <color auto="1"/>
      </right>
      <top/>
      <bottom style="thin">
        <color auto="1"/>
      </bottom>
      <diagonal/>
    </border>
    <border>
      <left style="thick">
        <color auto="1"/>
      </left>
      <right style="thin">
        <color rgb="FF000000"/>
      </right>
      <top/>
      <bottom style="thick">
        <color auto="1"/>
      </bottom>
      <diagonal/>
    </border>
    <border>
      <left/>
      <right style="dotted">
        <color rgb="FF000000"/>
      </right>
      <top/>
      <bottom style="thick">
        <color auto="1"/>
      </bottom>
      <diagonal/>
    </border>
    <border>
      <left style="dotted">
        <color rgb="FF000000"/>
      </left>
      <right style="thick">
        <color auto="1"/>
      </right>
      <top/>
      <bottom style="thick">
        <color auto="1"/>
      </bottom>
      <diagonal/>
    </border>
    <border>
      <left style="thick">
        <color auto="1"/>
      </left>
      <right style="thin">
        <color auto="1"/>
      </right>
      <top style="thick">
        <color auto="1"/>
      </top>
      <bottom style="thin">
        <color auto="1"/>
      </bottom>
      <diagonal/>
    </border>
    <border>
      <left/>
      <right/>
      <top style="thick">
        <color auto="1"/>
      </top>
      <bottom style="thin">
        <color rgb="FF000000"/>
      </bottom>
      <diagonal/>
    </border>
    <border>
      <left style="thin">
        <color auto="1"/>
      </left>
      <right/>
      <top style="thick">
        <color auto="1"/>
      </top>
      <bottom style="thin">
        <color rgb="FF000000"/>
      </bottom>
      <diagonal/>
    </border>
    <border>
      <left style="thin">
        <color auto="1"/>
      </left>
      <right style="thick">
        <color auto="1"/>
      </right>
      <top style="thick">
        <color auto="1"/>
      </top>
      <bottom style="thin">
        <color rgb="FF000000"/>
      </bottom>
      <diagonal/>
    </border>
    <border>
      <left style="thin">
        <color theme="1"/>
      </left>
      <right style="thin">
        <color theme="1"/>
      </right>
      <top/>
      <bottom/>
      <diagonal/>
    </border>
    <border>
      <left style="thin">
        <color theme="1"/>
      </left>
      <right/>
      <top/>
      <bottom/>
      <diagonal/>
    </border>
    <border>
      <left/>
      <right/>
      <top style="thick">
        <color auto="1"/>
      </top>
      <bottom/>
      <diagonal/>
    </border>
    <border>
      <left style="thin">
        <color theme="1"/>
      </left>
      <right style="thin">
        <color theme="1"/>
      </right>
      <top/>
      <bottom style="thick">
        <color auto="1"/>
      </bottom>
      <diagonal/>
    </border>
    <border>
      <left style="thin">
        <color theme="1"/>
      </left>
      <right style="thin">
        <color auto="1"/>
      </right>
      <top/>
      <bottom/>
      <diagonal/>
    </border>
    <border>
      <left/>
      <right style="thick">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style="medium">
        <color auto="1"/>
      </top>
      <bottom/>
      <diagonal/>
    </border>
    <border>
      <left/>
      <right/>
      <top/>
      <bottom style="medium">
        <color auto="1"/>
      </bottom>
      <diagonal/>
    </border>
    <border>
      <left style="thin">
        <color rgb="FFD9D9D9"/>
      </left>
      <right style="medium">
        <color rgb="FF000000"/>
      </right>
      <top style="medium">
        <color rgb="FF000000"/>
      </top>
      <bottom style="medium">
        <color rgb="FF000000"/>
      </bottom>
      <diagonal/>
    </border>
    <border>
      <left style="thin">
        <color rgb="FFD9D9D9"/>
      </left>
      <right style="thin">
        <color rgb="FFD9D9D9"/>
      </right>
      <top style="medium">
        <color rgb="FF000000"/>
      </top>
      <bottom style="medium">
        <color rgb="FF000000"/>
      </bottom>
      <diagonal/>
    </border>
    <border>
      <left style="dotted">
        <color rgb="FF000000"/>
      </left>
      <right style="thin">
        <color rgb="FFD9D9D9"/>
      </right>
      <top style="medium">
        <color rgb="FF000000"/>
      </top>
      <bottom style="medium">
        <color rgb="FF000000"/>
      </bottom>
      <diagonal/>
    </border>
    <border>
      <left style="thin">
        <color rgb="FFD9D9D9"/>
      </left>
      <right/>
      <top style="medium">
        <color rgb="FF000000"/>
      </top>
      <bottom style="medium">
        <color rgb="FF000000"/>
      </bottom>
      <diagonal/>
    </border>
    <border>
      <left/>
      <right style="thin">
        <color rgb="FFD9D9D9"/>
      </right>
      <top style="medium">
        <color rgb="FF000000"/>
      </top>
      <bottom style="medium">
        <color rgb="FF000000"/>
      </bottom>
      <diagonal/>
    </border>
    <border>
      <left style="dotted">
        <color rgb="FF000000"/>
      </left>
      <right style="thin">
        <color rgb="FFD9D9D9"/>
      </right>
      <top style="double">
        <color rgb="FF000000"/>
      </top>
      <bottom style="medium">
        <color rgb="FF000000"/>
      </bottom>
      <diagonal/>
    </border>
    <border>
      <left style="thin">
        <color rgb="FFD9D9D9"/>
      </left>
      <right/>
      <top style="double">
        <color rgb="FF000000"/>
      </top>
      <bottom style="medium">
        <color rgb="FF000000"/>
      </bottom>
      <diagonal/>
    </border>
    <border>
      <left style="dotted">
        <color rgb="FF000000"/>
      </left>
      <right style="thin">
        <color rgb="FFD9D9D9"/>
      </right>
      <top style="thin">
        <color rgb="FFD9D9D9"/>
      </top>
      <bottom/>
      <diagonal/>
    </border>
    <border>
      <left style="thin">
        <color rgb="FFD9D9D9"/>
      </left>
      <right/>
      <top style="thin">
        <color rgb="FFD9D9D9"/>
      </top>
      <bottom/>
      <diagonal/>
    </border>
    <border>
      <left style="dotted">
        <color rgb="FF000000"/>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medium">
        <color rgb="FF000000"/>
      </left>
      <right style="thin">
        <color rgb="FF000000"/>
      </right>
      <top style="thin">
        <color rgb="FFD9D9D9"/>
      </top>
      <bottom style="thin">
        <color rgb="FF000000"/>
      </bottom>
      <diagonal/>
    </border>
    <border>
      <left style="thin">
        <color rgb="FFD9D9D9"/>
      </left>
      <right style="medium">
        <color rgb="FF000000"/>
      </right>
      <top style="double">
        <color rgb="FF000000"/>
      </top>
      <bottom style="thin">
        <color rgb="FFD9D9D9"/>
      </bottom>
      <diagonal/>
    </border>
    <border>
      <left style="thin">
        <color rgb="FFD9D9D9"/>
      </left>
      <right style="thin">
        <color rgb="FFD9D9D9"/>
      </right>
      <top style="double">
        <color rgb="FF000000"/>
      </top>
      <bottom style="thin">
        <color rgb="FFD9D9D9"/>
      </bottom>
      <diagonal/>
    </border>
    <border>
      <left style="dotted">
        <color rgb="FF000000"/>
      </left>
      <right style="thin">
        <color rgb="FFD9D9D9"/>
      </right>
      <top style="double">
        <color rgb="FF000000"/>
      </top>
      <bottom style="thin">
        <color rgb="FFD9D9D9"/>
      </bottom>
      <diagonal/>
    </border>
    <border>
      <left style="thin">
        <color rgb="FFD9D9D9"/>
      </left>
      <right/>
      <top style="double">
        <color rgb="FF000000"/>
      </top>
      <bottom style="thin">
        <color rgb="FFD9D9D9"/>
      </bottom>
      <diagonal/>
    </border>
    <border>
      <left/>
      <right style="thin">
        <color rgb="FFD9D9D9"/>
      </right>
      <top style="double">
        <color rgb="FF000000"/>
      </top>
      <bottom style="thin">
        <color rgb="FFD9D9D9"/>
      </bottom>
      <diagonal/>
    </border>
    <border>
      <left style="dotted">
        <color rgb="FF000000"/>
      </left>
      <right style="thin">
        <color rgb="FFD9D9D9"/>
      </right>
      <top/>
      <bottom style="thin">
        <color rgb="FFD9D9D9"/>
      </bottom>
      <diagonal/>
    </border>
    <border>
      <left style="thin">
        <color rgb="FFD9D9D9"/>
      </left>
      <right/>
      <top/>
      <bottom style="thin">
        <color rgb="FFD9D9D9"/>
      </bottom>
      <diagonal/>
    </border>
    <border>
      <left style="thin">
        <color rgb="FF000000"/>
      </left>
      <right style="dotted">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B7B7B7"/>
      </left>
      <right style="medium">
        <color rgb="FF000000"/>
      </right>
      <top style="thin">
        <color rgb="FFB7B7B7"/>
      </top>
      <bottom style="thin">
        <color rgb="FFB7B7B7"/>
      </bottom>
      <diagonal/>
    </border>
    <border>
      <left style="dotted">
        <color rgb="FF000000"/>
      </left>
      <right style="thin">
        <color rgb="FFB7B7B7"/>
      </right>
      <top style="thin">
        <color rgb="FFB7B7B7"/>
      </top>
      <bottom style="thin">
        <color rgb="FFB7B7B7"/>
      </bottom>
      <diagonal/>
    </border>
    <border>
      <left style="thin">
        <color rgb="FFB7B7B7"/>
      </left>
      <right/>
      <top style="thin">
        <color rgb="FFB7B7B7"/>
      </top>
      <bottom style="thin">
        <color rgb="FFB7B7B7"/>
      </bottom>
      <diagonal/>
    </border>
    <border>
      <left/>
      <right style="thin">
        <color rgb="FFB7B7B7"/>
      </right>
      <top style="thin">
        <color rgb="FFB7B7B7"/>
      </top>
      <bottom style="thin">
        <color rgb="FFB7B7B7"/>
      </bottom>
      <diagonal/>
    </border>
    <border>
      <left style="medium">
        <color rgb="FF000000"/>
      </left>
      <right style="thin">
        <color rgb="FF000000"/>
      </right>
      <top style="thin">
        <color rgb="FFB7B7B7"/>
      </top>
      <bottom style="thin">
        <color rgb="FFB7B7B7"/>
      </bottom>
      <diagonal/>
    </border>
    <border>
      <left style="medium">
        <color rgb="FF000000"/>
      </left>
      <right style="thin">
        <color rgb="FF000000"/>
      </right>
      <top/>
      <bottom style="thin">
        <color rgb="FFB7B7B7"/>
      </bottom>
      <diagonal/>
    </border>
    <border>
      <left style="medium">
        <color rgb="FF000000"/>
      </left>
      <right style="thin">
        <color rgb="FF000000"/>
      </right>
      <top style="thin">
        <color rgb="FF999999"/>
      </top>
      <bottom style="thin">
        <color rgb="FF000000"/>
      </bottom>
      <diagonal/>
    </border>
    <border>
      <left style="medium">
        <color rgb="FF000000"/>
      </left>
      <right style="thin">
        <color rgb="FF000000"/>
      </right>
      <top style="thin">
        <color rgb="FF999999"/>
      </top>
      <bottom style="thin">
        <color rgb="FF999999"/>
      </bottom>
      <diagonal/>
    </border>
    <border>
      <left style="medium">
        <color rgb="FF000000"/>
      </left>
      <right style="thin">
        <color rgb="FF000000"/>
      </right>
      <top style="thin">
        <color rgb="FF999999"/>
      </top>
      <bottom style="thin">
        <color rgb="FFB7B7B7"/>
      </bottom>
      <diagonal/>
    </border>
    <border>
      <left style="medium">
        <color rgb="FF000000"/>
      </left>
      <right style="thin">
        <color rgb="FF000000"/>
      </right>
      <top/>
      <bottom style="thin">
        <color rgb="FF999999"/>
      </bottom>
      <diagonal/>
    </border>
    <border>
      <left style="thin">
        <color rgb="FFB7B7B7"/>
      </left>
      <right style="medium">
        <color rgb="FF000000"/>
      </right>
      <top/>
      <bottom style="thin">
        <color rgb="FFB7B7B7"/>
      </bottom>
      <diagonal/>
    </border>
    <border>
      <left style="thin">
        <color rgb="FFB7B7B7"/>
      </left>
      <right style="thin">
        <color rgb="FFB7B7B7"/>
      </right>
      <top/>
      <bottom style="thin">
        <color rgb="FFB7B7B7"/>
      </bottom>
      <diagonal/>
    </border>
    <border>
      <left style="dotted">
        <color rgb="FF000000"/>
      </left>
      <right style="thin">
        <color rgb="FFB7B7B7"/>
      </right>
      <top/>
      <bottom style="thin">
        <color rgb="FFB7B7B7"/>
      </bottom>
      <diagonal/>
    </border>
    <border>
      <left style="thin">
        <color rgb="FFB7B7B7"/>
      </left>
      <right/>
      <top/>
      <bottom style="thin">
        <color rgb="FFB7B7B7"/>
      </bottom>
      <diagonal/>
    </border>
    <border>
      <left/>
      <right style="thin">
        <color rgb="FFB7B7B7"/>
      </right>
      <top/>
      <bottom style="thin">
        <color rgb="FFB7B7B7"/>
      </bottom>
      <diagonal/>
    </border>
    <border>
      <left style="dotted">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medium">
        <color rgb="FF000000"/>
      </top>
      <bottom style="thin">
        <color rgb="FF000000"/>
      </bottom>
      <diagonal/>
    </border>
    <border>
      <left/>
      <right style="thin">
        <color rgb="FFD9D9D9"/>
      </right>
      <top/>
      <bottom/>
      <diagonal/>
    </border>
    <border>
      <left style="medium">
        <color rgb="FFFFFFFF"/>
      </left>
      <right style="medium">
        <color rgb="FFFFFFFF"/>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thin">
        <color auto="1"/>
      </left>
      <right style="thin">
        <color auto="1"/>
      </right>
      <top/>
      <bottom/>
      <diagonal/>
    </border>
    <border>
      <left style="thick">
        <color auto="1"/>
      </left>
      <right style="thin">
        <color auto="1"/>
      </right>
      <top style="thin">
        <color rgb="FF000000"/>
      </top>
      <bottom style="thin">
        <color rgb="FF000000"/>
      </bottom>
      <diagonal/>
    </border>
    <border>
      <left style="thick">
        <color auto="1"/>
      </left>
      <right style="thin">
        <color auto="1"/>
      </right>
      <top/>
      <bottom style="thick">
        <color auto="1"/>
      </bottom>
      <diagonal/>
    </border>
    <border>
      <left/>
      <right style="thin">
        <color auto="1"/>
      </right>
      <top/>
      <bottom style="thick">
        <color auto="1"/>
      </bottom>
      <diagonal/>
    </border>
    <border>
      <left style="thick">
        <color auto="1"/>
      </left>
      <right style="thin">
        <color auto="1"/>
      </right>
      <top style="thin">
        <color rgb="FF000000"/>
      </top>
      <bottom style="double">
        <color auto="1"/>
      </bottom>
      <diagonal/>
    </border>
    <border>
      <left/>
      <right/>
      <top/>
      <bottom style="double">
        <color auto="1"/>
      </bottom>
      <diagonal/>
    </border>
    <border>
      <left/>
      <right style="thin">
        <color auto="1"/>
      </right>
      <top/>
      <bottom style="double">
        <color auto="1"/>
      </bottom>
      <diagonal/>
    </border>
    <border>
      <left/>
      <right style="thick">
        <color auto="1"/>
      </right>
      <top/>
      <bottom style="double">
        <color auto="1"/>
      </bottom>
      <diagonal/>
    </border>
    <border>
      <left style="thick">
        <color auto="1"/>
      </left>
      <right style="thin">
        <color auto="1"/>
      </right>
      <top style="thick">
        <color auto="1"/>
      </top>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thin">
        <color auto="1"/>
      </top>
      <bottom style="thin">
        <color rgb="FF000000"/>
      </bottom>
      <diagonal/>
    </border>
    <border>
      <left style="thin">
        <color rgb="FF000000"/>
      </left>
      <right style="thick">
        <color auto="1"/>
      </right>
      <top style="thin">
        <color rgb="FF000000"/>
      </top>
      <bottom style="thin">
        <color rgb="FF000000"/>
      </bottom>
      <diagonal/>
    </border>
    <border>
      <left style="thin">
        <color rgb="FF000000"/>
      </left>
      <right style="thick">
        <color auto="1"/>
      </right>
      <top style="thin">
        <color rgb="FF000000"/>
      </top>
      <bottom style="thick">
        <color auto="1"/>
      </bottom>
      <diagonal/>
    </border>
    <border>
      <left style="thin">
        <color rgb="FF000000"/>
      </left>
      <right style="thick">
        <color auto="1"/>
      </right>
      <top/>
      <bottom style="thin">
        <color rgb="FF000000"/>
      </bottom>
      <diagonal/>
    </border>
    <border>
      <left style="thick">
        <color auto="1"/>
      </left>
      <right style="thin">
        <color rgb="FF000000"/>
      </right>
      <top style="thick">
        <color auto="1"/>
      </top>
      <bottom style="medium">
        <color rgb="FF000000"/>
      </bottom>
      <diagonal/>
    </border>
    <border>
      <left/>
      <right/>
      <top style="thick">
        <color auto="1"/>
      </top>
      <bottom style="medium">
        <color rgb="FF000000"/>
      </bottom>
      <diagonal/>
    </border>
    <border>
      <left style="thin">
        <color auto="1"/>
      </left>
      <right style="thin">
        <color rgb="FF000000"/>
      </right>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style="thin">
        <color rgb="FF000000"/>
      </top>
      <bottom style="thick">
        <color auto="1"/>
      </bottom>
      <diagonal/>
    </border>
    <border>
      <left style="thin">
        <color auto="1"/>
      </left>
      <right/>
      <top style="thick">
        <color auto="1"/>
      </top>
      <bottom style="thin">
        <color auto="1"/>
      </bottom>
      <diagonal/>
    </border>
    <border>
      <left style="medium">
        <color rgb="FF000000"/>
      </left>
      <right/>
      <top/>
      <bottom style="thick">
        <color auto="1"/>
      </bottom>
      <diagonal/>
    </border>
    <border>
      <left style="thick">
        <color auto="1"/>
      </left>
      <right style="medium">
        <color rgb="FF000000"/>
      </right>
      <top style="thick">
        <color auto="1"/>
      </top>
      <bottom style="medium">
        <color rgb="FF000000"/>
      </bottom>
      <diagonal/>
    </border>
    <border>
      <left style="thin">
        <color rgb="FF000000"/>
      </left>
      <right style="thick">
        <color auto="1"/>
      </right>
      <top style="thick">
        <color auto="1"/>
      </top>
      <bottom style="medium">
        <color rgb="FF000000"/>
      </bottom>
      <diagonal/>
    </border>
    <border>
      <left style="thick">
        <color auto="1"/>
      </left>
      <right style="thin">
        <color rgb="FF000000"/>
      </right>
      <top style="medium">
        <color rgb="FF000000"/>
      </top>
      <bottom style="thin">
        <color rgb="FF000000"/>
      </bottom>
      <diagonal/>
    </border>
    <border>
      <left/>
      <right/>
      <top style="thin">
        <color auto="1"/>
      </top>
      <bottom style="thick">
        <color auto="1"/>
      </bottom>
      <diagonal/>
    </border>
    <border>
      <left style="thick">
        <color auto="1"/>
      </left>
      <right style="thin">
        <color rgb="FF000000"/>
      </right>
      <top style="thin">
        <color rgb="FF000000"/>
      </top>
      <bottom style="double">
        <color auto="1"/>
      </bottom>
      <diagonal/>
    </border>
    <border>
      <left style="thin">
        <color rgb="FFD9D9D9"/>
      </left>
      <right style="thin">
        <color rgb="FFD9D9D9"/>
      </right>
      <top style="thin">
        <color rgb="FFD9D9D9"/>
      </top>
      <bottom style="double">
        <color auto="1"/>
      </bottom>
      <diagonal/>
    </border>
    <border>
      <left/>
      <right style="thick">
        <color auto="1"/>
      </right>
      <top style="medium">
        <color rgb="FF000000"/>
      </top>
      <bottom style="thin">
        <color rgb="FFD9D9D9"/>
      </bottom>
      <diagonal/>
    </border>
    <border>
      <left/>
      <right style="thick">
        <color auto="1"/>
      </right>
      <top style="thin">
        <color rgb="FFD9D9D9"/>
      </top>
      <bottom style="thin">
        <color rgb="FFD9D9D9"/>
      </bottom>
      <diagonal/>
    </border>
    <border>
      <left/>
      <right style="thick">
        <color auto="1"/>
      </right>
      <top style="thin">
        <color rgb="FFD9D9D9"/>
      </top>
      <bottom style="double">
        <color auto="1"/>
      </bottom>
      <diagonal/>
    </border>
    <border>
      <left/>
      <right style="thin">
        <color rgb="FF000000"/>
      </right>
      <top style="thick">
        <color auto="1"/>
      </top>
      <bottom style="thin">
        <color auto="1"/>
      </bottom>
      <diagonal/>
    </border>
    <border>
      <left style="thin">
        <color rgb="FF000000"/>
      </left>
      <right style="thin">
        <color rgb="FF000000"/>
      </right>
      <top style="thick">
        <color auto="1"/>
      </top>
      <bottom style="thin">
        <color auto="1"/>
      </bottom>
      <diagonal/>
    </border>
    <border>
      <left style="thick">
        <color auto="1"/>
      </left>
      <right style="thin">
        <color auto="1"/>
      </right>
      <top/>
      <bottom style="double">
        <color auto="1"/>
      </bottom>
      <diagonal/>
    </border>
    <border>
      <left/>
      <right style="thin">
        <color auto="1"/>
      </right>
      <top style="thick">
        <color auto="1"/>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style="thin">
        <color rgb="FF000000"/>
      </bottom>
      <diagonal/>
    </border>
    <border>
      <left/>
      <right style="thick">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right style="thin">
        <color rgb="FFD9D9D9"/>
      </right>
      <top style="thin">
        <color rgb="FFD9D9D9"/>
      </top>
      <bottom style="double">
        <color auto="1"/>
      </bottom>
      <diagonal/>
    </border>
    <border>
      <left/>
      <right style="medium">
        <color rgb="FF000000"/>
      </right>
      <top style="thick">
        <color auto="1"/>
      </top>
      <bottom style="thin">
        <color rgb="FF000000"/>
      </bottom>
      <diagonal/>
    </border>
    <border>
      <left/>
      <right style="thick">
        <color auto="1"/>
      </right>
      <top style="thick">
        <color auto="1"/>
      </top>
      <bottom style="thin">
        <color rgb="FF000000"/>
      </bottom>
      <diagonal/>
    </border>
    <border>
      <left style="thick">
        <color auto="1"/>
      </left>
      <right style="thin">
        <color rgb="FF000000"/>
      </right>
      <top/>
      <bottom style="thin">
        <color rgb="FFD9D9D9"/>
      </bottom>
      <diagonal/>
    </border>
    <border>
      <left style="thin">
        <color rgb="FFD9D9D9"/>
      </left>
      <right style="thick">
        <color auto="1"/>
      </right>
      <top/>
      <bottom style="thin">
        <color rgb="FFD9D9D9"/>
      </bottom>
      <diagonal/>
    </border>
    <border>
      <left style="thick">
        <color auto="1"/>
      </left>
      <right style="thin">
        <color rgb="FF000000"/>
      </right>
      <top style="thin">
        <color rgb="FFD9D9D9"/>
      </top>
      <bottom style="double">
        <color auto="1"/>
      </bottom>
      <diagonal/>
    </border>
    <border>
      <left style="thin">
        <color rgb="FFD9D9D9"/>
      </left>
      <right style="thick">
        <color auto="1"/>
      </right>
      <top style="thin">
        <color rgb="FFD9D9D9"/>
      </top>
      <bottom style="double">
        <color auto="1"/>
      </bottom>
      <diagonal/>
    </border>
    <border>
      <left/>
      <right style="thin">
        <color rgb="FFD9D9D9"/>
      </right>
      <top/>
      <bottom style="thick">
        <color auto="1"/>
      </bottom>
      <diagonal/>
    </border>
    <border>
      <left/>
      <right style="thick">
        <color auto="1"/>
      </right>
      <top style="thin">
        <color auto="1"/>
      </top>
      <bottom style="thick">
        <color auto="1"/>
      </bottom>
      <diagonal/>
    </border>
    <border>
      <left style="thick">
        <color auto="1"/>
      </left>
      <right style="thick">
        <color auto="1"/>
      </right>
      <top style="thick">
        <color auto="1"/>
      </top>
      <bottom style="thin">
        <color rgb="FF000000"/>
      </bottom>
      <diagonal/>
    </border>
    <border>
      <left style="thick">
        <color auto="1"/>
      </left>
      <right style="thin">
        <color auto="1"/>
      </right>
      <top style="double">
        <color auto="1"/>
      </top>
      <bottom/>
      <diagonal/>
    </border>
    <border>
      <left style="thin">
        <color auto="1"/>
      </left>
      <right style="hair">
        <color auto="1"/>
      </right>
      <top/>
      <bottom style="thick">
        <color auto="1"/>
      </bottom>
      <diagonal/>
    </border>
    <border>
      <left style="thin">
        <color auto="1"/>
      </left>
      <right style="hair">
        <color auto="1"/>
      </right>
      <top/>
      <bottom/>
      <diagonal/>
    </border>
    <border>
      <left style="thin">
        <color auto="1"/>
      </left>
      <right style="hair">
        <color auto="1"/>
      </right>
      <top/>
      <bottom style="double">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hair">
        <color auto="1"/>
      </right>
      <top/>
      <bottom/>
      <diagonal/>
    </border>
    <border>
      <left/>
      <right style="hair">
        <color auto="1"/>
      </right>
      <top/>
      <bottom style="double">
        <color auto="1"/>
      </bottom>
      <diagonal/>
    </border>
    <border>
      <left/>
      <right style="hair">
        <color auto="1"/>
      </right>
      <top/>
      <bottom style="thick">
        <color auto="1"/>
      </bottom>
      <diagonal/>
    </border>
    <border>
      <left style="thin">
        <color auto="1"/>
      </left>
      <right style="hair">
        <color auto="1"/>
      </right>
      <top/>
      <bottom style="thin">
        <color auto="1"/>
      </bottom>
      <diagonal/>
    </border>
    <border>
      <left style="thin">
        <color auto="1"/>
      </left>
      <right style="hair">
        <color auto="1"/>
      </right>
      <top style="thin">
        <color auto="1"/>
      </top>
      <bottom/>
      <diagonal/>
    </border>
    <border>
      <left/>
      <right style="hair">
        <color auto="1"/>
      </right>
      <top style="thin">
        <color auto="1"/>
      </top>
      <bottom/>
      <diagonal/>
    </border>
    <border>
      <left style="thin">
        <color rgb="FFD9D9D9"/>
      </left>
      <right style="medium">
        <color auto="1"/>
      </right>
      <top style="thin">
        <color rgb="FFD9D9D9"/>
      </top>
      <bottom style="thin">
        <color rgb="FFD9D9D9"/>
      </bottom>
      <diagonal/>
    </border>
    <border>
      <left style="thin">
        <color rgb="FFB7B7B7"/>
      </left>
      <right style="medium">
        <color auto="1"/>
      </right>
      <top style="thin">
        <color rgb="FFB7B7B7"/>
      </top>
      <bottom style="thin">
        <color rgb="FFB7B7B7"/>
      </bottom>
      <diagonal/>
    </border>
    <border>
      <left style="thin">
        <color rgb="FFB7B7B7"/>
      </left>
      <right style="medium">
        <color auto="1"/>
      </right>
      <top/>
      <bottom style="thin">
        <color rgb="FFB7B7B7"/>
      </bottom>
      <diagonal/>
    </border>
    <border>
      <left style="medium">
        <color rgb="FF000000"/>
      </left>
      <right style="thin">
        <color rgb="FF000000"/>
      </right>
      <top style="thin">
        <color rgb="FFB7B7B7"/>
      </top>
      <bottom style="double">
        <color auto="1"/>
      </bottom>
      <diagonal/>
    </border>
    <border>
      <left/>
      <right style="thin">
        <color rgb="FFB7B7B7"/>
      </right>
      <top style="thin">
        <color rgb="FFB7B7B7"/>
      </top>
      <bottom style="double">
        <color auto="1"/>
      </bottom>
      <diagonal/>
    </border>
    <border>
      <left style="thin">
        <color rgb="FFB7B7B7"/>
      </left>
      <right style="thin">
        <color rgb="FFB7B7B7"/>
      </right>
      <top style="thin">
        <color rgb="FFB7B7B7"/>
      </top>
      <bottom style="double">
        <color auto="1"/>
      </bottom>
      <diagonal/>
    </border>
    <border>
      <left style="thin">
        <color rgb="FFB7B7B7"/>
      </left>
      <right/>
      <top style="thin">
        <color rgb="FFB7B7B7"/>
      </top>
      <bottom style="double">
        <color auto="1"/>
      </bottom>
      <diagonal/>
    </border>
    <border>
      <left style="thin">
        <color rgb="FFB7B7B7"/>
      </left>
      <right style="medium">
        <color rgb="FF000000"/>
      </right>
      <top style="thin">
        <color rgb="FFB7B7B7"/>
      </top>
      <bottom style="double">
        <color auto="1"/>
      </bottom>
      <diagonal/>
    </border>
    <border>
      <left style="dotted">
        <color rgb="FF000000"/>
      </left>
      <right style="thin">
        <color rgb="FFB7B7B7"/>
      </right>
      <top style="thin">
        <color rgb="FFB7B7B7"/>
      </top>
      <bottom style="double">
        <color auto="1"/>
      </bottom>
      <diagonal/>
    </border>
    <border>
      <left/>
      <right style="thin">
        <color rgb="FFB7B7B7"/>
      </right>
      <top/>
      <bottom style="medium">
        <color rgb="FF000000"/>
      </bottom>
      <diagonal/>
    </border>
    <border>
      <left style="thin">
        <color rgb="FFB7B7B7"/>
      </left>
      <right style="thin">
        <color rgb="FFB7B7B7"/>
      </right>
      <top/>
      <bottom style="medium">
        <color rgb="FF000000"/>
      </bottom>
      <diagonal/>
    </border>
    <border>
      <left style="thin">
        <color rgb="FFB7B7B7"/>
      </left>
      <right/>
      <top/>
      <bottom style="medium">
        <color rgb="FF000000"/>
      </bottom>
      <diagonal/>
    </border>
    <border>
      <left style="dotted">
        <color rgb="FF000000"/>
      </left>
      <right style="thin">
        <color rgb="FFB7B7B7"/>
      </right>
      <top/>
      <bottom style="medium">
        <color rgb="FF000000"/>
      </bottom>
      <diagonal/>
    </border>
    <border>
      <left style="thin">
        <color rgb="FFB7B7B7"/>
      </left>
      <right style="medium">
        <color rgb="FF000000"/>
      </right>
      <top/>
      <bottom style="medium">
        <color rgb="FF000000"/>
      </bottom>
      <diagonal/>
    </border>
    <border>
      <left style="medium">
        <color rgb="FF000000"/>
      </left>
      <right style="thin">
        <color rgb="FF000000"/>
      </right>
      <top style="double">
        <color auto="1"/>
      </top>
      <bottom style="double">
        <color auto="1"/>
      </bottom>
      <diagonal/>
    </border>
    <border>
      <left/>
      <right style="thin">
        <color rgb="FFB7B7B7"/>
      </right>
      <top style="double">
        <color auto="1"/>
      </top>
      <bottom style="double">
        <color auto="1"/>
      </bottom>
      <diagonal/>
    </border>
    <border>
      <left style="thin">
        <color rgb="FFB7B7B7"/>
      </left>
      <right style="thin">
        <color rgb="FFB7B7B7"/>
      </right>
      <top style="double">
        <color auto="1"/>
      </top>
      <bottom style="double">
        <color auto="1"/>
      </bottom>
      <diagonal/>
    </border>
    <border>
      <left style="thin">
        <color rgb="FFB7B7B7"/>
      </left>
      <right/>
      <top style="double">
        <color auto="1"/>
      </top>
      <bottom style="double">
        <color auto="1"/>
      </bottom>
      <diagonal/>
    </border>
    <border>
      <left style="dotted">
        <color rgb="FF000000"/>
      </left>
      <right style="thin">
        <color rgb="FFB7B7B7"/>
      </right>
      <top style="double">
        <color auto="1"/>
      </top>
      <bottom style="double">
        <color auto="1"/>
      </bottom>
      <diagonal/>
    </border>
    <border>
      <left style="thin">
        <color rgb="FFB7B7B7"/>
      </left>
      <right style="medium">
        <color rgb="FF000000"/>
      </right>
      <top style="double">
        <color auto="1"/>
      </top>
      <bottom style="double">
        <color auto="1"/>
      </bottom>
      <diagonal/>
    </border>
    <border>
      <left style="medium">
        <color rgb="FF000000"/>
      </left>
      <right style="thin">
        <color rgb="FF000000"/>
      </right>
      <top/>
      <bottom style="double">
        <color auto="1"/>
      </bottom>
      <diagonal/>
    </border>
    <border>
      <left/>
      <right style="thin">
        <color rgb="FFB7B7B7"/>
      </right>
      <top/>
      <bottom style="double">
        <color auto="1"/>
      </bottom>
      <diagonal/>
    </border>
    <border>
      <left style="thin">
        <color rgb="FFB7B7B7"/>
      </left>
      <right style="thin">
        <color rgb="FFB7B7B7"/>
      </right>
      <top/>
      <bottom style="double">
        <color auto="1"/>
      </bottom>
      <diagonal/>
    </border>
    <border>
      <left style="thin">
        <color rgb="FFB7B7B7"/>
      </left>
      <right/>
      <top/>
      <bottom style="double">
        <color auto="1"/>
      </bottom>
      <diagonal/>
    </border>
    <border>
      <left style="dotted">
        <color rgb="FF000000"/>
      </left>
      <right style="thin">
        <color rgb="FFB7B7B7"/>
      </right>
      <top/>
      <bottom style="double">
        <color auto="1"/>
      </bottom>
      <diagonal/>
    </border>
    <border>
      <left style="thin">
        <color rgb="FFB7B7B7"/>
      </left>
      <right style="medium">
        <color rgb="FF000000"/>
      </right>
      <top/>
      <bottom style="double">
        <color auto="1"/>
      </bottom>
      <diagonal/>
    </border>
    <border>
      <left/>
      <right style="medium">
        <color rgb="FF000000"/>
      </right>
      <top style="double">
        <color rgb="FF000000"/>
      </top>
      <bottom style="thin">
        <color rgb="FFD9D9D9"/>
      </bottom>
      <diagonal/>
    </border>
    <border>
      <left style="thin">
        <color rgb="FFB7B7B7"/>
      </left>
      <right style="medium">
        <color auto="1"/>
      </right>
      <top style="double">
        <color auto="1"/>
      </top>
      <bottom style="thin">
        <color rgb="FFB7B7B7"/>
      </bottom>
      <diagonal/>
    </border>
    <border>
      <left style="hair">
        <color auto="1"/>
      </left>
      <right style="medium">
        <color auto="1"/>
      </right>
      <top/>
      <bottom/>
      <diagonal/>
    </border>
    <border>
      <left style="hair">
        <color auto="1"/>
      </left>
      <right style="medium">
        <color auto="1"/>
      </right>
      <top style="thin">
        <color auto="1"/>
      </top>
      <bottom/>
      <diagonal/>
    </border>
    <border>
      <left style="hair">
        <color auto="1"/>
      </left>
      <right style="thin">
        <color auto="1"/>
      </right>
      <top style="thin">
        <color auto="1"/>
      </top>
      <bottom/>
      <diagonal/>
    </border>
    <border>
      <left style="thin">
        <color auto="1"/>
      </left>
      <right style="thin">
        <color auto="1"/>
      </right>
      <top/>
      <bottom style="medium">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bottom style="double">
        <color auto="1"/>
      </bottom>
      <diagonal/>
    </border>
    <border>
      <left style="thin">
        <color auto="1"/>
      </left>
      <right style="hair">
        <color theme="1"/>
      </right>
      <top style="double">
        <color auto="1"/>
      </top>
      <bottom style="thick">
        <color auto="1"/>
      </bottom>
      <diagonal/>
    </border>
    <border>
      <left/>
      <right style="medium">
        <color auto="1"/>
      </right>
      <top style="double">
        <color auto="1"/>
      </top>
      <bottom style="thick">
        <color auto="1"/>
      </bottom>
      <diagonal/>
    </border>
    <border>
      <left style="thin">
        <color auto="1"/>
      </left>
      <right style="hair">
        <color theme="1"/>
      </right>
      <top/>
      <bottom style="double">
        <color auto="1"/>
      </bottom>
      <diagonal/>
    </border>
    <border>
      <left style="thin">
        <color auto="1"/>
      </left>
      <right style="hair">
        <color theme="1"/>
      </right>
      <top/>
      <bottom/>
      <diagonal/>
    </border>
    <border>
      <left style="thin">
        <color rgb="FFB7B7B7"/>
      </left>
      <right style="medium">
        <color theme="1"/>
      </right>
      <top style="thin">
        <color rgb="FFB7B7B7"/>
      </top>
      <bottom style="thin">
        <color rgb="FFB7B7B7"/>
      </bottom>
      <diagonal/>
    </border>
    <border>
      <left style="medium">
        <color rgb="FF000000"/>
      </left>
      <right style="thin">
        <color rgb="FF000000"/>
      </right>
      <top style="thin">
        <color rgb="FFB7B7B7"/>
      </top>
      <bottom/>
      <diagonal/>
    </border>
    <border>
      <left/>
      <right style="thin">
        <color rgb="FFB7B7B7"/>
      </right>
      <top style="thin">
        <color rgb="FFB7B7B7"/>
      </top>
      <bottom/>
      <diagonal/>
    </border>
    <border>
      <left style="thin">
        <color rgb="FFB7B7B7"/>
      </left>
      <right style="thin">
        <color rgb="FFB7B7B7"/>
      </right>
      <top style="thin">
        <color rgb="FFB7B7B7"/>
      </top>
      <bottom/>
      <diagonal/>
    </border>
    <border>
      <left style="thin">
        <color rgb="FFB7B7B7"/>
      </left>
      <right/>
      <top style="thin">
        <color rgb="FFB7B7B7"/>
      </top>
      <bottom/>
      <diagonal/>
    </border>
    <border>
      <left style="thin">
        <color rgb="FFB7B7B7"/>
      </left>
      <right style="medium">
        <color rgb="FF000000"/>
      </right>
      <top style="thin">
        <color rgb="FFB7B7B7"/>
      </top>
      <bottom/>
      <diagonal/>
    </border>
    <border>
      <left style="thin">
        <color rgb="FFD9D9D9"/>
      </left>
      <right style="thin">
        <color rgb="FFD9D9D9"/>
      </right>
      <top/>
      <bottom/>
      <diagonal/>
    </border>
    <border>
      <left style="thin">
        <color rgb="FFD9D9D9"/>
      </left>
      <right/>
      <top/>
      <bottom/>
      <diagonal/>
    </border>
    <border>
      <left style="dotted">
        <color rgb="FF000000"/>
      </left>
      <right style="thin">
        <color rgb="FFD9D9D9"/>
      </right>
      <top/>
      <bottom/>
      <diagonal/>
    </border>
    <border>
      <left style="thin">
        <color rgb="FFD9D9D9"/>
      </left>
      <right style="medium">
        <color rgb="FF000000"/>
      </right>
      <top/>
      <bottom/>
      <diagonal/>
    </border>
    <border>
      <left style="thick">
        <color auto="1"/>
      </left>
      <right style="thick">
        <color auto="1"/>
      </right>
      <top style="thick">
        <color auto="1"/>
      </top>
      <bottom/>
      <diagonal/>
    </border>
    <border>
      <left style="thick">
        <color auto="1"/>
      </left>
      <right style="thick">
        <color auto="1"/>
      </right>
      <top/>
      <bottom/>
      <diagonal/>
    </border>
    <border>
      <left style="medium">
        <color rgb="FF000000"/>
      </left>
      <right/>
      <top style="thin">
        <color rgb="FFB7B7B7"/>
      </top>
      <bottom/>
      <diagonal/>
    </border>
    <border>
      <left style="dotted">
        <color rgb="FF000000"/>
      </left>
      <right style="thin">
        <color rgb="FFB7B7B7"/>
      </right>
      <top style="thin">
        <color rgb="FFB7B7B7"/>
      </top>
      <bottom/>
      <diagonal/>
    </border>
    <border>
      <left style="thin">
        <color theme="1"/>
      </left>
      <right style="thick">
        <color auto="1"/>
      </right>
      <top/>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style="thick">
        <color auto="1"/>
      </top>
      <bottom style="thick">
        <color auto="1"/>
      </bottom>
      <diagonal/>
    </border>
    <border>
      <left/>
      <right style="dotted">
        <color rgb="FF000000"/>
      </right>
      <top style="thin">
        <color rgb="FFD9D9D9"/>
      </top>
      <bottom style="thin">
        <color auto="1"/>
      </bottom>
      <diagonal/>
    </border>
    <border>
      <left style="dotted">
        <color rgb="FF000000"/>
      </left>
      <right style="dotted">
        <color rgb="FF000000"/>
      </right>
      <top style="thin">
        <color rgb="FFD9D9D9"/>
      </top>
      <bottom style="thin">
        <color auto="1"/>
      </bottom>
      <diagonal/>
    </border>
    <border>
      <left style="thin">
        <color auto="1"/>
      </left>
      <right/>
      <top style="thick">
        <color auto="1"/>
      </top>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top/>
      <bottom style="thin">
        <color rgb="FF000000"/>
      </bottom>
      <diagonal/>
    </border>
    <border>
      <left style="thick">
        <color auto="1"/>
      </left>
      <right/>
      <top style="thin">
        <color rgb="FF000000"/>
      </top>
      <bottom style="thin">
        <color rgb="FF000000"/>
      </bottom>
      <diagonal/>
    </border>
    <border>
      <left style="thick">
        <color auto="1"/>
      </left>
      <right/>
      <top style="thin">
        <color rgb="FF000000"/>
      </top>
      <bottom style="medium">
        <color rgb="FF000000"/>
      </bottom>
      <diagonal/>
    </border>
    <border>
      <left style="dotted">
        <color rgb="FF000000"/>
      </left>
      <right/>
      <top style="thick">
        <color auto="1"/>
      </top>
      <bottom style="thin">
        <color rgb="FF000000"/>
      </bottom>
      <diagonal/>
    </border>
    <border>
      <left style="thin">
        <color rgb="FFF3F3F3"/>
      </left>
      <right style="thick">
        <color auto="1"/>
      </right>
      <top style="thin">
        <color rgb="FF000000"/>
      </top>
      <bottom/>
      <diagonal/>
    </border>
    <border>
      <left style="dotted">
        <color rgb="FF000000"/>
      </left>
      <right style="thick">
        <color auto="1"/>
      </right>
      <top/>
      <bottom/>
      <diagonal/>
    </border>
    <border>
      <left style="thick">
        <color auto="1"/>
      </left>
      <right style="thin">
        <color rgb="FF000000"/>
      </right>
      <top style="thin">
        <color rgb="FFD9D9D9"/>
      </top>
      <bottom style="thin">
        <color rgb="FFD9D9D9"/>
      </bottom>
      <diagonal/>
    </border>
    <border>
      <left style="thick">
        <color auto="1"/>
      </left>
      <right style="thin">
        <color rgb="FF000000"/>
      </right>
      <top style="thin">
        <color rgb="FFD9D9D9"/>
      </top>
      <bottom/>
      <diagonal/>
    </border>
    <border>
      <left style="thick">
        <color auto="1"/>
      </left>
      <right style="thin">
        <color rgb="FF000000"/>
      </right>
      <top/>
      <bottom/>
      <diagonal/>
    </border>
    <border>
      <left style="dotted">
        <color rgb="FF000000"/>
      </left>
      <right style="dotted">
        <color rgb="FF000000"/>
      </right>
      <top/>
      <bottom style="thick">
        <color auto="1"/>
      </bottom>
      <diagonal/>
    </border>
    <border>
      <left style="dotted">
        <color rgb="FF000000"/>
      </left>
      <right/>
      <top/>
      <bottom style="thick">
        <color auto="1"/>
      </bottom>
      <diagonal/>
    </border>
    <border>
      <left/>
      <right style="thick">
        <color auto="1"/>
      </right>
      <top/>
      <bottom style="thin">
        <color rgb="FF000000"/>
      </bottom>
      <diagonal/>
    </border>
    <border>
      <left style="thick">
        <color auto="1"/>
      </left>
      <right style="thin">
        <color auto="1"/>
      </right>
      <top style="thin">
        <color auto="1"/>
      </top>
      <bottom/>
      <diagonal/>
    </border>
    <border>
      <left style="thin">
        <color auto="1"/>
      </left>
      <right style="thin">
        <color auto="1"/>
      </right>
      <top/>
      <bottom style="thick">
        <color auto="1"/>
      </bottom>
      <diagonal/>
    </border>
    <border>
      <left/>
      <right style="thick">
        <color auto="1"/>
      </right>
      <top style="thick">
        <color auto="1"/>
      </top>
      <bottom style="double">
        <color auto="1"/>
      </bottom>
      <diagonal/>
    </border>
    <border>
      <left style="thin">
        <color auto="1"/>
      </left>
      <right/>
      <top style="double">
        <color auto="1"/>
      </top>
      <bottom style="thick">
        <color auto="1"/>
      </bottom>
      <diagonal/>
    </border>
    <border>
      <left/>
      <right/>
      <top style="double">
        <color auto="1"/>
      </top>
      <bottom style="thick">
        <color auto="1"/>
      </bottom>
      <diagonal/>
    </border>
    <border>
      <left/>
      <right style="thick">
        <color auto="1"/>
      </right>
      <top style="double">
        <color auto="1"/>
      </top>
      <bottom style="thick">
        <color auto="1"/>
      </bottom>
      <diagonal/>
    </border>
    <border>
      <left style="thin">
        <color auto="1"/>
      </left>
      <right/>
      <top/>
      <bottom style="thick">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thick">
        <color auto="1"/>
      </right>
      <top style="double">
        <color auto="1"/>
      </top>
      <bottom style="double">
        <color auto="1"/>
      </bottom>
      <diagonal/>
    </border>
    <border>
      <left/>
      <right style="thick">
        <color auto="1"/>
      </right>
      <top style="double">
        <color auto="1"/>
      </top>
      <bottom/>
      <diagonal/>
    </border>
    <border>
      <left style="thin">
        <color auto="1"/>
      </left>
      <right style="thin">
        <color auto="1"/>
      </right>
      <top style="double">
        <color auto="1"/>
      </top>
      <bottom/>
      <diagonal/>
    </border>
    <border>
      <left style="thin">
        <color auto="1"/>
      </left>
      <right/>
      <top/>
      <bottom style="double">
        <color auto="1"/>
      </bottom>
      <diagonal/>
    </border>
    <border>
      <left style="thin">
        <color auto="1"/>
      </left>
      <right/>
      <top style="thin">
        <color auto="1"/>
      </top>
      <bottom style="double">
        <color auto="1"/>
      </bottom>
      <diagonal/>
    </border>
    <border>
      <left style="thin">
        <color auto="1"/>
      </left>
      <right/>
      <top style="thin">
        <color auto="1"/>
      </top>
      <bottom style="thick">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ck">
        <color auto="1"/>
      </top>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style="thick">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bottom style="thin">
        <color rgb="FF000000"/>
      </bottom>
      <diagonal/>
    </border>
    <border>
      <left style="thick">
        <color auto="1"/>
      </left>
      <right style="thick">
        <color auto="1"/>
      </right>
      <top style="thin">
        <color rgb="FF000000"/>
      </top>
      <bottom style="thin">
        <color rgb="FF000000"/>
      </bottom>
      <diagonal/>
    </border>
    <border>
      <left style="thick">
        <color auto="1"/>
      </left>
      <right style="thick">
        <color auto="1"/>
      </right>
      <top style="thin">
        <color rgb="FF000000"/>
      </top>
      <bottom style="thick">
        <color auto="1"/>
      </bottom>
      <diagonal/>
    </border>
    <border>
      <left style="thick">
        <color auto="1"/>
      </left>
      <right/>
      <top/>
      <bottom style="thin">
        <color auto="1"/>
      </bottom>
      <diagonal/>
    </border>
    <border>
      <left style="thick">
        <color auto="1"/>
      </left>
      <right style="thin">
        <color theme="1"/>
      </right>
      <top style="thick">
        <color auto="1"/>
      </top>
      <bottom style="thin">
        <color auto="1"/>
      </bottom>
      <diagonal/>
    </border>
    <border>
      <left style="thin">
        <color theme="1"/>
      </left>
      <right style="thin">
        <color auto="1"/>
      </right>
      <top style="thick">
        <color auto="1"/>
      </top>
      <bottom style="thin">
        <color auto="1"/>
      </bottom>
      <diagonal/>
    </border>
    <border>
      <left style="thick">
        <color auto="1"/>
      </left>
      <right style="thin">
        <color theme="1"/>
      </right>
      <top style="thick">
        <color auto="1"/>
      </top>
      <bottom style="thick">
        <color auto="1"/>
      </bottom>
      <diagonal/>
    </border>
    <border>
      <left style="thin">
        <color theme="1"/>
      </left>
      <right style="thin">
        <color theme="1"/>
      </right>
      <top style="thick">
        <color auto="1"/>
      </top>
      <bottom style="thick">
        <color auto="1"/>
      </bottom>
      <diagonal/>
    </border>
    <border>
      <left style="thin">
        <color theme="1"/>
      </left>
      <right/>
      <top style="thick">
        <color auto="1"/>
      </top>
      <bottom style="thick">
        <color auto="1"/>
      </bottom>
      <diagonal/>
    </border>
    <border>
      <left style="thin">
        <color theme="1"/>
      </left>
      <right style="thick">
        <color auto="1"/>
      </right>
      <top style="thick">
        <color auto="1"/>
      </top>
      <bottom style="thick">
        <color auto="1"/>
      </bottom>
      <diagonal/>
    </border>
    <border>
      <left style="thick">
        <color auto="1"/>
      </left>
      <right style="thin">
        <color theme="1"/>
      </right>
      <top/>
      <bottom style="thick">
        <color auto="1"/>
      </bottom>
      <diagonal/>
    </border>
    <border>
      <left style="thin">
        <color theme="1"/>
      </left>
      <right/>
      <top/>
      <bottom style="thick">
        <color auto="1"/>
      </bottom>
      <diagonal/>
    </border>
    <border>
      <left style="thick">
        <color auto="1"/>
      </left>
      <right style="thick">
        <color auto="1"/>
      </right>
      <top/>
      <bottom style="thin">
        <color rgb="FFDDDDDD"/>
      </bottom>
      <diagonal/>
    </border>
    <border>
      <left/>
      <right style="thin">
        <color auto="1"/>
      </right>
      <top/>
      <bottom style="thin">
        <color rgb="FFDDDDDD"/>
      </bottom>
      <diagonal/>
    </border>
    <border>
      <left style="thick">
        <color auto="1"/>
      </left>
      <right style="thick">
        <color auto="1"/>
      </right>
      <top/>
      <bottom style="thin">
        <color auto="1"/>
      </bottom>
      <diagonal/>
    </border>
    <border>
      <left/>
      <right style="thick">
        <color auto="1"/>
      </right>
      <top style="thick">
        <color auto="1"/>
      </top>
      <bottom style="medium">
        <color rgb="FF000000"/>
      </bottom>
      <diagonal/>
    </border>
    <border>
      <left style="thin">
        <color rgb="FFD9D9D9"/>
      </left>
      <right style="thick">
        <color auto="1"/>
      </right>
      <top style="thin">
        <color rgb="FFD9D9D9"/>
      </top>
      <bottom style="thin">
        <color rgb="FFD9D9D9"/>
      </bottom>
      <diagonal/>
    </border>
    <border>
      <left style="medium">
        <color rgb="FF000000"/>
      </left>
      <right style="thick">
        <color auto="1"/>
      </right>
      <top style="double">
        <color rgb="FF000000"/>
      </top>
      <bottom/>
      <diagonal/>
    </border>
    <border>
      <left/>
      <right style="thick">
        <color auto="1"/>
      </right>
      <top style="double">
        <color rgb="FF000000"/>
      </top>
      <bottom style="thin">
        <color rgb="FF000000"/>
      </bottom>
      <diagonal/>
    </border>
    <border>
      <left style="thin">
        <color rgb="FFD9D9D9"/>
      </left>
      <right style="thick">
        <color auto="1"/>
      </right>
      <top style="thin">
        <color rgb="FFD9D9D9"/>
      </top>
      <bottom/>
      <diagonal/>
    </border>
    <border>
      <left style="thin">
        <color rgb="FFD9D9D9"/>
      </left>
      <right style="thick">
        <color auto="1"/>
      </right>
      <top style="thin">
        <color rgb="FFD9D9D9"/>
      </top>
      <bottom style="thin">
        <color rgb="FF000000"/>
      </bottom>
      <diagonal/>
    </border>
    <border>
      <left/>
      <right style="thin">
        <color rgb="FFD9D9D9"/>
      </right>
      <top style="double">
        <color rgb="FF000000"/>
      </top>
      <bottom style="thick">
        <color auto="1"/>
      </bottom>
      <diagonal/>
    </border>
    <border>
      <left style="thin">
        <color rgb="FFD9D9D9"/>
      </left>
      <right style="thin">
        <color rgb="FFD9D9D9"/>
      </right>
      <top style="double">
        <color rgb="FF000000"/>
      </top>
      <bottom style="thick">
        <color auto="1"/>
      </bottom>
      <diagonal/>
    </border>
    <border>
      <left style="thin">
        <color rgb="FFD9D9D9"/>
      </left>
      <right style="thick">
        <color auto="1"/>
      </right>
      <top style="double">
        <color rgb="FF000000"/>
      </top>
      <bottom style="thick">
        <color auto="1"/>
      </bottom>
      <diagonal/>
    </border>
    <border>
      <left style="medium">
        <color rgb="FF000000"/>
      </left>
      <right/>
      <top style="thick">
        <color auto="1"/>
      </top>
      <bottom style="thin">
        <color rgb="FF000000"/>
      </bottom>
      <diagonal/>
    </border>
    <border>
      <left style="thick">
        <color auto="1"/>
      </left>
      <right style="thin">
        <color rgb="FF000000"/>
      </right>
      <top style="thin">
        <color rgb="FF000000"/>
      </top>
      <bottom style="thick">
        <color auto="1"/>
      </bottom>
      <diagonal/>
    </border>
    <border>
      <left style="dotted">
        <color rgb="FF000000"/>
      </left>
      <right style="thick">
        <color auto="1"/>
      </right>
      <top/>
      <bottom style="thin">
        <color rgb="FFD9D9D9"/>
      </bottom>
      <diagonal/>
    </border>
    <border>
      <left style="dotted">
        <color rgb="FF000000"/>
      </left>
      <right style="thick">
        <color auto="1"/>
      </right>
      <top style="thin">
        <color rgb="FFD9D9D9"/>
      </top>
      <bottom style="thin">
        <color rgb="FFD9D9D9"/>
      </bottom>
      <diagonal/>
    </border>
    <border>
      <left style="dotted">
        <color rgb="FF000000"/>
      </left>
      <right style="thick">
        <color auto="1"/>
      </right>
      <top style="thin">
        <color rgb="FFD9D9D9"/>
      </top>
      <bottom style="thin">
        <color auto="1"/>
      </bottom>
      <diagonal/>
    </border>
    <border>
      <left style="thick">
        <color auto="1"/>
      </left>
      <right style="thin">
        <color rgb="FF000000"/>
      </right>
      <top style="thin">
        <color rgb="FF000000"/>
      </top>
      <bottom style="double">
        <color rgb="FF000000"/>
      </bottom>
      <diagonal/>
    </border>
    <border>
      <left/>
      <right style="thick">
        <color auto="1"/>
      </right>
      <top style="thin">
        <color rgb="FFD9D9D9"/>
      </top>
      <bottom style="double">
        <color rgb="FF000000"/>
      </bottom>
      <diagonal/>
    </border>
    <border>
      <left style="thick">
        <color auto="1"/>
      </left>
      <right style="thin">
        <color rgb="FF000000"/>
      </right>
      <top/>
      <bottom style="double">
        <color rgb="FF000000"/>
      </bottom>
      <diagonal/>
    </border>
    <border>
      <left style="thick">
        <color auto="1"/>
      </left>
      <right style="thin">
        <color rgb="FF000000"/>
      </right>
      <top style="thick">
        <color auto="1"/>
      </top>
      <bottom style="thin">
        <color rgb="FF000000"/>
      </bottom>
      <diagonal/>
    </border>
    <border>
      <left style="thin">
        <color rgb="FF000000"/>
      </left>
      <right style="thick">
        <color auto="1"/>
      </right>
      <top style="thick">
        <color auto="1"/>
      </top>
      <bottom style="thin">
        <color rgb="FF000000"/>
      </bottom>
      <diagonal/>
    </border>
    <border>
      <left style="thin">
        <color rgb="FF000000"/>
      </left>
      <right style="thick">
        <color auto="1"/>
      </right>
      <top style="thin">
        <color rgb="FF000000"/>
      </top>
      <bottom style="double">
        <color auto="1"/>
      </bottom>
      <diagonal/>
    </border>
    <border>
      <left style="thick">
        <color auto="1"/>
      </left>
      <right style="thin">
        <color rgb="FF000000"/>
      </right>
      <top style="double">
        <color rgb="FF000000"/>
      </top>
      <bottom style="thin">
        <color rgb="FF000000"/>
      </bottom>
      <diagonal/>
    </border>
    <border>
      <left style="thick">
        <color auto="1"/>
      </left>
      <right style="thin">
        <color rgb="FF000000"/>
      </right>
      <top style="thin">
        <color rgb="FF000000"/>
      </top>
      <bottom style="medium">
        <color rgb="FF000000"/>
      </bottom>
      <diagonal/>
    </border>
    <border>
      <left/>
      <right style="dotted">
        <color rgb="FF000000"/>
      </right>
      <top style="thin">
        <color rgb="FFD9D9D9"/>
      </top>
      <bottom style="thick">
        <color auto="1"/>
      </bottom>
      <diagonal/>
    </border>
    <border>
      <left style="dotted">
        <color rgb="FF000000"/>
      </left>
      <right style="dotted">
        <color rgb="FF000000"/>
      </right>
      <top style="thin">
        <color rgb="FFD9D9D9"/>
      </top>
      <bottom style="thick">
        <color auto="1"/>
      </bottom>
      <diagonal/>
    </border>
    <border>
      <left style="dotted">
        <color rgb="FF000000"/>
      </left>
      <right style="thick">
        <color auto="1"/>
      </right>
      <top style="thin">
        <color rgb="FFD9D9D9"/>
      </top>
      <bottom style="thick">
        <color auto="1"/>
      </bottom>
      <diagonal/>
    </border>
    <border>
      <left style="thick">
        <color auto="1"/>
      </left>
      <right style="thin">
        <color rgb="FF000000"/>
      </right>
      <top style="thick">
        <color auto="1"/>
      </top>
      <bottom style="thick">
        <color auto="1"/>
      </bottom>
      <diagonal/>
    </border>
    <border>
      <left style="medium">
        <color rgb="FF000000"/>
      </left>
      <right style="thin">
        <color rgb="FF000000"/>
      </right>
      <top style="thick">
        <color auto="1"/>
      </top>
      <bottom style="thick">
        <color auto="1"/>
      </bottom>
      <diagonal/>
    </border>
    <border>
      <left style="medium">
        <color rgb="FF000000"/>
      </left>
      <right style="thick">
        <color auto="1"/>
      </right>
      <top style="thick">
        <color auto="1"/>
      </top>
      <bottom style="thick">
        <color auto="1"/>
      </bottom>
      <diagonal/>
    </border>
    <border>
      <left style="thick">
        <color auto="1"/>
      </left>
      <right style="medium">
        <color rgb="FF000000"/>
      </right>
      <top/>
      <bottom style="thin">
        <color rgb="FF000000"/>
      </bottom>
      <diagonal/>
    </border>
    <border>
      <left style="thin">
        <color auto="1"/>
      </left>
      <right style="thick">
        <color auto="1"/>
      </right>
      <top style="thick">
        <color auto="1"/>
      </top>
      <bottom style="medium">
        <color rgb="FF000000"/>
      </bottom>
      <diagonal/>
    </border>
    <border>
      <left style="thin">
        <color auto="1"/>
      </left>
      <right/>
      <top style="thick">
        <color auto="1"/>
      </top>
      <bottom style="medium">
        <color rgb="FF000000"/>
      </bottom>
      <diagonal/>
    </border>
    <border>
      <left style="thick">
        <color auto="1"/>
      </left>
      <right/>
      <top style="thick">
        <color auto="1"/>
      </top>
      <bottom style="medium">
        <color rgb="FF000000"/>
      </bottom>
      <diagonal/>
    </border>
    <border>
      <left/>
      <right style="thin">
        <color auto="1"/>
      </right>
      <top style="thick">
        <color auto="1"/>
      </top>
      <bottom style="medium">
        <color rgb="FF000000"/>
      </bottom>
      <diagonal/>
    </border>
    <border>
      <left/>
      <right/>
      <top style="thin">
        <color auto="1"/>
      </top>
      <bottom style="double">
        <color auto="1"/>
      </bottom>
      <diagonal/>
    </border>
    <border>
      <left style="medium">
        <color rgb="FF000000"/>
      </left>
      <right/>
      <top style="thin">
        <color auto="1"/>
      </top>
      <bottom style="double">
        <color auto="1"/>
      </bottom>
      <diagonal/>
    </border>
    <border>
      <left/>
      <right style="medium">
        <color rgb="FF000000"/>
      </right>
      <top style="thin">
        <color auto="1"/>
      </top>
      <bottom style="double">
        <color auto="1"/>
      </bottom>
      <diagonal/>
    </border>
    <border>
      <left style="medium">
        <color rgb="FF000000"/>
      </left>
      <right style="medium">
        <color rgb="FF000000"/>
      </right>
      <top style="double">
        <color rgb="FF000000"/>
      </top>
      <bottom style="double">
        <color auto="1"/>
      </bottom>
      <diagonal/>
    </border>
    <border>
      <left/>
      <right/>
      <top style="thin">
        <color rgb="FF000000"/>
      </top>
      <bottom style="double">
        <color auto="1"/>
      </bottom>
      <diagonal/>
    </border>
    <border>
      <left style="medium">
        <color rgb="FF000000"/>
      </left>
      <right style="thick">
        <color auto="1"/>
      </right>
      <top style="double">
        <color rgb="FF000000"/>
      </top>
      <bottom style="double">
        <color auto="1"/>
      </bottom>
      <diagonal/>
    </border>
    <border>
      <left/>
      <right style="medium">
        <color rgb="FF000000"/>
      </right>
      <top style="double">
        <color rgb="FF000000"/>
      </top>
      <bottom style="double">
        <color auto="1"/>
      </bottom>
      <diagonal/>
    </border>
    <border>
      <left/>
      <right style="medium">
        <color rgb="FF000000"/>
      </right>
      <top/>
      <bottom style="thick">
        <color auto="1"/>
      </bottom>
      <diagonal/>
    </border>
    <border>
      <left style="medium">
        <color rgb="FF000000"/>
      </left>
      <right style="medium">
        <color rgb="FF000000"/>
      </right>
      <top/>
      <bottom style="thick">
        <color auto="1"/>
      </bottom>
      <diagonal/>
    </border>
    <border>
      <left style="medium">
        <color rgb="FF000000"/>
      </left>
      <right style="thick">
        <color auto="1"/>
      </right>
      <top/>
      <bottom style="thick">
        <color auto="1"/>
      </bottom>
      <diagonal/>
    </border>
    <border>
      <left/>
      <right/>
      <top style="double">
        <color rgb="FF000000"/>
      </top>
      <bottom style="thin">
        <color auto="1"/>
      </bottom>
      <diagonal/>
    </border>
    <border>
      <left style="thick">
        <color auto="1"/>
      </left>
      <right style="thin">
        <color auto="1"/>
      </right>
      <top/>
      <bottom style="thin">
        <color rgb="FFD9D9D9"/>
      </bottom>
      <diagonal/>
    </border>
    <border>
      <left style="thick">
        <color auto="1"/>
      </left>
      <right style="thin">
        <color auto="1"/>
      </right>
      <top style="thin">
        <color rgb="FFD9D9D9"/>
      </top>
      <bottom style="thin">
        <color rgb="FFD9D9D9"/>
      </bottom>
      <diagonal/>
    </border>
    <border>
      <left style="thick">
        <color auto="1"/>
      </left>
      <right style="thin">
        <color auto="1"/>
      </right>
      <top style="thin">
        <color rgb="FFD9D9D9"/>
      </top>
      <bottom/>
      <diagonal/>
    </border>
    <border>
      <left style="thick">
        <color auto="1"/>
      </left>
      <right style="thin">
        <color auto="1"/>
      </right>
      <top style="thin">
        <color auto="1"/>
      </top>
      <bottom style="double">
        <color auto="1"/>
      </bottom>
      <diagonal/>
    </border>
    <border>
      <left style="thick">
        <color auto="1"/>
      </left>
      <right style="thin">
        <color auto="1"/>
      </right>
      <top/>
      <bottom style="medium">
        <color rgb="FF000000"/>
      </bottom>
      <diagonal/>
    </border>
    <border>
      <left style="thick">
        <color auto="1"/>
      </left>
      <right style="thin">
        <color auto="1"/>
      </right>
      <top style="double">
        <color rgb="FF000000"/>
      </top>
      <bottom style="medium">
        <color rgb="FF000000"/>
      </bottom>
      <diagonal/>
    </border>
    <border>
      <left/>
      <right style="thick">
        <color auto="1"/>
      </right>
      <top style="thin">
        <color auto="1"/>
      </top>
      <bottom style="thin">
        <color auto="1"/>
      </bottom>
      <diagonal/>
    </border>
    <border>
      <left style="thin">
        <color rgb="FFF3F3F3"/>
      </left>
      <right style="thick">
        <color auto="1"/>
      </right>
      <top style="thin">
        <color rgb="FF000000"/>
      </top>
      <bottom style="thin">
        <color rgb="FFD9D9D9"/>
      </bottom>
      <diagonal/>
    </border>
    <border>
      <left style="thick">
        <color auto="1"/>
      </left>
      <right/>
      <top/>
      <bottom style="double">
        <color auto="1"/>
      </bottom>
      <diagonal/>
    </border>
    <border>
      <left/>
      <right style="thick">
        <color auto="1"/>
      </right>
      <top style="thin">
        <color auto="1"/>
      </top>
      <bottom/>
      <diagonal/>
    </border>
    <border>
      <left style="thin">
        <color theme="1"/>
      </left>
      <right style="thin">
        <color auto="1"/>
      </right>
      <top/>
      <bottom style="double">
        <color auto="1"/>
      </bottom>
      <diagonal/>
    </border>
    <border>
      <left style="thin">
        <color theme="1"/>
      </left>
      <right style="thick">
        <color auto="1"/>
      </right>
      <top/>
      <bottom style="double">
        <color auto="1"/>
      </bottom>
      <diagonal/>
    </border>
    <border>
      <left style="thick">
        <color auto="1"/>
      </left>
      <right style="thin">
        <color theme="1"/>
      </right>
      <top style="thick">
        <color auto="1"/>
      </top>
      <bottom style="thin">
        <color theme="1"/>
      </bottom>
      <diagonal/>
    </border>
    <border>
      <left style="thin">
        <color theme="1"/>
      </left>
      <right style="thin">
        <color theme="1"/>
      </right>
      <top style="thick">
        <color auto="1"/>
      </top>
      <bottom style="thin">
        <color theme="1"/>
      </bottom>
      <diagonal/>
    </border>
    <border>
      <left style="thin">
        <color theme="1"/>
      </left>
      <right style="thin">
        <color auto="1"/>
      </right>
      <top style="thick">
        <color auto="1"/>
      </top>
      <bottom style="thin">
        <color theme="1"/>
      </bottom>
      <diagonal/>
    </border>
    <border>
      <left style="thin">
        <color theme="1"/>
      </left>
      <right style="thick">
        <color auto="1"/>
      </right>
      <top style="thick">
        <color auto="1"/>
      </top>
      <bottom style="thin">
        <color theme="1"/>
      </bottom>
      <diagonal/>
    </border>
    <border>
      <left style="thick">
        <color auto="1"/>
      </left>
      <right/>
      <top style="thin">
        <color auto="1"/>
      </top>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dotted">
        <color auto="1"/>
      </left>
      <right style="dotted">
        <color auto="1"/>
      </right>
      <top style="thin">
        <color auto="1"/>
      </top>
      <bottom/>
      <diagonal/>
    </border>
    <border>
      <left style="dotted">
        <color auto="1"/>
      </left>
      <right style="dotted">
        <color auto="1"/>
      </right>
      <top/>
      <bottom style="thin">
        <color auto="1"/>
      </bottom>
      <diagonal/>
    </border>
    <border>
      <left style="thick">
        <color auto="1"/>
      </left>
      <right style="thin">
        <color theme="1"/>
      </right>
      <top style="thick">
        <color auto="1"/>
      </top>
      <bottom/>
      <diagonal/>
    </border>
    <border>
      <left style="thin">
        <color theme="1"/>
      </left>
      <right/>
      <top style="thick">
        <color auto="1"/>
      </top>
      <bottom/>
      <diagonal/>
    </border>
    <border>
      <left style="thin">
        <color theme="1"/>
      </left>
      <right style="thin">
        <color theme="1"/>
      </right>
      <top style="thick">
        <color auto="1"/>
      </top>
      <bottom/>
      <diagonal/>
    </border>
    <border>
      <left style="thin">
        <color theme="1"/>
      </left>
      <right style="thick">
        <color auto="1"/>
      </right>
      <top style="thick">
        <color auto="1"/>
      </top>
      <bottom/>
      <diagonal/>
    </border>
    <border>
      <left style="thin">
        <color auto="1"/>
      </left>
      <right/>
      <top style="medium">
        <color auto="1"/>
      </top>
      <bottom/>
      <diagonal/>
    </border>
    <border>
      <left style="thin">
        <color theme="1"/>
      </left>
      <right style="thin">
        <color theme="1"/>
      </right>
      <top style="medium">
        <color auto="1"/>
      </top>
      <bottom/>
      <diagonal/>
    </border>
    <border>
      <left style="thin">
        <color theme="1"/>
      </left>
      <right style="medium">
        <color auto="1"/>
      </right>
      <top style="medium">
        <color auto="1"/>
      </top>
      <bottom/>
      <diagonal/>
    </border>
    <border>
      <left style="thin">
        <color theme="1"/>
      </left>
      <right style="medium">
        <color auto="1"/>
      </right>
      <top/>
      <bottom/>
      <diagonal/>
    </border>
    <border>
      <left style="medium">
        <color auto="1"/>
      </left>
      <right/>
      <top/>
      <bottom style="double">
        <color auto="1"/>
      </bottom>
      <diagonal/>
    </border>
    <border>
      <left style="thin">
        <color theme="1"/>
      </left>
      <right style="medium">
        <color auto="1"/>
      </right>
      <top/>
      <bottom style="double">
        <color auto="1"/>
      </bottom>
      <diagonal/>
    </border>
    <border>
      <left style="thick">
        <color auto="1"/>
      </left>
      <right/>
      <top style="thin">
        <color auto="1"/>
      </top>
      <bottom style="double">
        <color auto="1"/>
      </bottom>
      <diagonal/>
    </border>
    <border>
      <left/>
      <right style="thick">
        <color auto="1"/>
      </right>
      <top style="thin">
        <color auto="1"/>
      </top>
      <bottom style="double">
        <color auto="1"/>
      </bottom>
      <diagonal/>
    </border>
    <border>
      <left style="thin">
        <color auto="1"/>
      </left>
      <right style="dotted">
        <color auto="1"/>
      </right>
      <top style="thin">
        <color auto="1"/>
      </top>
      <bottom style="thin">
        <color auto="1"/>
      </bottom>
      <diagonal/>
    </border>
    <border>
      <left style="thin">
        <color auto="1"/>
      </left>
      <right style="dotted">
        <color auto="1"/>
      </right>
      <top style="thin">
        <color auto="1"/>
      </top>
      <bottom/>
      <diagonal/>
    </border>
    <border>
      <left style="thin">
        <color auto="1"/>
      </left>
      <right style="dotted">
        <color auto="1"/>
      </right>
      <top/>
      <bottom/>
      <diagonal/>
    </border>
    <border>
      <left style="thin">
        <color auto="1"/>
      </left>
      <right style="dotted">
        <color auto="1"/>
      </right>
      <top/>
      <bottom style="thin">
        <color auto="1"/>
      </bottom>
      <diagonal/>
    </border>
    <border>
      <left style="dotted">
        <color auto="1"/>
      </left>
      <right style="dotted">
        <color auto="1"/>
      </right>
      <top/>
      <bottom/>
      <diagonal/>
    </border>
    <border>
      <left style="thick">
        <color auto="1"/>
      </left>
      <right style="dotted">
        <color auto="1"/>
      </right>
      <top style="thick">
        <color auto="1"/>
      </top>
      <bottom/>
      <diagonal/>
    </border>
    <border>
      <left style="thick">
        <color auto="1"/>
      </left>
      <right style="dotted">
        <color auto="1"/>
      </right>
      <top/>
      <bottom/>
      <diagonal/>
    </border>
    <border>
      <left style="thick">
        <color auto="1"/>
      </left>
      <right style="dotted">
        <color auto="1"/>
      </right>
      <top/>
      <bottom style="thick">
        <color auto="1"/>
      </bottom>
      <diagonal/>
    </border>
    <border>
      <left style="dotted">
        <color auto="1"/>
      </left>
      <right style="dotted">
        <color auto="1"/>
      </right>
      <top style="thick">
        <color auto="1"/>
      </top>
      <bottom style="thick">
        <color auto="1"/>
      </bottom>
      <diagonal/>
    </border>
    <border>
      <left style="dotted">
        <color auto="1"/>
      </left>
      <right style="dotted">
        <color auto="1"/>
      </right>
      <top style="thick">
        <color auto="1"/>
      </top>
      <bottom/>
      <diagonal/>
    </border>
    <border>
      <left style="dotted">
        <color auto="1"/>
      </left>
      <right style="dotted">
        <color auto="1"/>
      </right>
      <top/>
      <bottom style="thick">
        <color auto="1"/>
      </bottom>
      <diagonal/>
    </border>
    <border>
      <left style="thin">
        <color auto="1"/>
      </left>
      <right style="dotted">
        <color auto="1"/>
      </right>
      <top/>
      <bottom style="thick">
        <color auto="1"/>
      </bottom>
      <diagonal/>
    </border>
    <border>
      <left style="dotted">
        <color auto="1"/>
      </left>
      <right style="dotted">
        <color auto="1"/>
      </right>
      <top style="thin">
        <color auto="1"/>
      </top>
      <bottom style="thick">
        <color auto="1"/>
      </bottom>
      <diagonal/>
    </border>
    <border>
      <left/>
      <right style="dotted">
        <color auto="1"/>
      </right>
      <top style="thick">
        <color auto="1"/>
      </top>
      <bottom style="thick">
        <color auto="1"/>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right style="dotted">
        <color auto="1"/>
      </right>
      <top style="thin">
        <color auto="1"/>
      </top>
      <bottom style="thick">
        <color auto="1"/>
      </bottom>
      <diagonal/>
    </border>
    <border>
      <left/>
      <right style="dotted">
        <color auto="1"/>
      </right>
      <top style="thin">
        <color auto="1"/>
      </top>
      <bottom/>
      <diagonal/>
    </border>
    <border>
      <left/>
      <right style="dotted">
        <color auto="1"/>
      </right>
      <top/>
      <bottom/>
      <diagonal/>
    </border>
    <border>
      <left/>
      <right style="dotted">
        <color auto="1"/>
      </right>
      <top/>
      <bottom style="thick">
        <color auto="1"/>
      </bottom>
      <diagonal/>
    </border>
    <border>
      <left/>
      <right style="dotted">
        <color auto="1"/>
      </right>
      <top style="thin">
        <color auto="1"/>
      </top>
      <bottom style="thin">
        <color auto="1"/>
      </bottom>
      <diagonal/>
    </border>
    <border>
      <left/>
      <right style="dotted">
        <color auto="1"/>
      </right>
      <top/>
      <bottom style="thin">
        <color auto="1"/>
      </bottom>
      <diagonal/>
    </border>
    <border>
      <left style="thin">
        <color auto="1"/>
      </left>
      <right style="dotted">
        <color auto="1"/>
      </right>
      <top style="thick">
        <color auto="1"/>
      </top>
      <bottom/>
      <diagonal/>
    </border>
    <border>
      <left/>
      <right style="dotted">
        <color auto="1"/>
      </right>
      <top style="thick">
        <color auto="1"/>
      </top>
      <bottom style="thin">
        <color auto="1"/>
      </bottom>
      <diagonal/>
    </border>
    <border>
      <left/>
      <right style="dotted">
        <color auto="1"/>
      </right>
      <top style="thick">
        <color auto="1"/>
      </top>
      <bottom/>
      <diagonal/>
    </border>
    <border>
      <left style="medium">
        <color auto="1"/>
      </left>
      <right style="thin">
        <color auto="1"/>
      </right>
      <top style="medium">
        <color auto="1"/>
      </top>
      <bottom style="medium">
        <color auto="1"/>
      </bottom>
      <diagonal/>
    </border>
    <border>
      <left style="dotted">
        <color rgb="FF000000"/>
      </left>
      <right style="medium">
        <color auto="1"/>
      </right>
      <top/>
      <bottom style="thin">
        <color rgb="FF000000"/>
      </bottom>
      <diagonal/>
    </border>
    <border>
      <left style="thick">
        <color auto="1"/>
      </left>
      <right style="medium">
        <color rgb="FF000000"/>
      </right>
      <top/>
      <bottom style="medium">
        <color rgb="FF000000"/>
      </bottom>
      <diagonal/>
    </border>
  </borders>
  <cellStyleXfs count="25">
    <xf numFmtId="0" fontId="0" fillId="0" borderId="0"/>
    <xf numFmtId="0" fontId="4" fillId="0" borderId="0"/>
    <xf numFmtId="44" fontId="3"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169" fontId="2" fillId="0" borderId="0" applyFont="0" applyFill="0" applyBorder="0" applyAlignment="0" applyProtection="0"/>
    <xf numFmtId="0" fontId="5" fillId="0" borderId="0"/>
    <xf numFmtId="164" fontId="5" fillId="0" borderId="0" applyFont="0" applyFill="0" applyBorder="0" applyAlignment="0" applyProtection="0"/>
    <xf numFmtId="167"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2966">
    <xf numFmtId="0" fontId="0" fillId="0" borderId="0" xfId="0"/>
    <xf numFmtId="0" fontId="6" fillId="0" borderId="0" xfId="4"/>
    <xf numFmtId="0" fontId="8" fillId="0" borderId="0" xfId="0" applyFont="1"/>
    <xf numFmtId="0" fontId="9" fillId="0" borderId="0" xfId="0" applyFont="1"/>
    <xf numFmtId="0" fontId="9" fillId="20" borderId="161" xfId="0" applyFont="1" applyFill="1" applyBorder="1" applyAlignment="1">
      <alignment horizontal="left"/>
    </xf>
    <xf numFmtId="0" fontId="8" fillId="20" borderId="142" xfId="0" applyFont="1" applyFill="1" applyBorder="1"/>
    <xf numFmtId="0" fontId="8" fillId="20" borderId="162" xfId="0" applyFont="1" applyFill="1" applyBorder="1"/>
    <xf numFmtId="0" fontId="10" fillId="0" borderId="164" xfId="0" applyFont="1" applyFill="1" applyBorder="1"/>
    <xf numFmtId="0" fontId="10" fillId="25" borderId="164" xfId="0" applyFont="1" applyFill="1" applyBorder="1"/>
    <xf numFmtId="0" fontId="8" fillId="25" borderId="165" xfId="0" applyFont="1" applyFill="1" applyBorder="1"/>
    <xf numFmtId="0" fontId="8" fillId="25" borderId="166" xfId="0" applyFont="1" applyFill="1" applyBorder="1"/>
    <xf numFmtId="0" fontId="9" fillId="20" borderId="10" xfId="0" applyFont="1" applyFill="1" applyBorder="1"/>
    <xf numFmtId="0" fontId="8" fillId="20" borderId="11" xfId="0" applyFont="1" applyFill="1" applyBorder="1"/>
    <xf numFmtId="0" fontId="8" fillId="20" borderId="12" xfId="0" applyFont="1" applyFill="1" applyBorder="1"/>
    <xf numFmtId="0" fontId="10" fillId="0" borderId="164" xfId="0" applyFont="1" applyBorder="1"/>
    <xf numFmtId="0" fontId="9" fillId="0" borderId="112" xfId="0" applyFont="1" applyFill="1" applyBorder="1"/>
    <xf numFmtId="0" fontId="11" fillId="0" borderId="0" xfId="1" applyFont="1" applyAlignment="1"/>
    <xf numFmtId="0" fontId="12" fillId="8" borderId="34" xfId="1" applyFont="1" applyFill="1" applyBorder="1" applyAlignment="1">
      <alignment horizontal="center" vertical="center"/>
    </xf>
    <xf numFmtId="0" fontId="12" fillId="18" borderId="33" xfId="1" applyFont="1" applyFill="1" applyBorder="1" applyAlignment="1">
      <alignment horizontal="center"/>
    </xf>
    <xf numFmtId="0" fontId="12" fillId="18" borderId="32" xfId="1" applyFont="1" applyFill="1" applyBorder="1" applyAlignment="1">
      <alignment horizontal="center"/>
    </xf>
    <xf numFmtId="0" fontId="12" fillId="18" borderId="31" xfId="1" applyFont="1" applyFill="1" applyBorder="1" applyAlignment="1">
      <alignment horizontal="center"/>
    </xf>
    <xf numFmtId="0" fontId="13" fillId="0" borderId="0" xfId="1" applyFont="1" applyAlignment="1">
      <alignment horizontal="center"/>
    </xf>
    <xf numFmtId="0" fontId="12" fillId="9" borderId="45" xfId="1" applyFont="1" applyFill="1" applyBorder="1" applyAlignment="1">
      <alignment horizontal="center"/>
    </xf>
    <xf numFmtId="3" fontId="12" fillId="9" borderId="27" xfId="1" applyNumberFormat="1" applyFont="1" applyFill="1" applyBorder="1" applyAlignment="1">
      <alignment horizontal="center"/>
    </xf>
    <xf numFmtId="3" fontId="12" fillId="9" borderId="52" xfId="1" applyNumberFormat="1" applyFont="1" applyFill="1" applyBorder="1" applyAlignment="1">
      <alignment horizontal="center"/>
    </xf>
    <xf numFmtId="3" fontId="12" fillId="9" borderId="51" xfId="1" applyNumberFormat="1" applyFont="1" applyFill="1" applyBorder="1" applyAlignment="1">
      <alignment horizontal="center"/>
    </xf>
    <xf numFmtId="0" fontId="14" fillId="0" borderId="30" xfId="1" applyFont="1" applyBorder="1" applyAlignment="1">
      <alignment horizontal="right"/>
    </xf>
    <xf numFmtId="171" fontId="11" fillId="3" borderId="0" xfId="1" applyNumberFormat="1" applyFont="1" applyFill="1"/>
    <xf numFmtId="171" fontId="13" fillId="0" borderId="49" xfId="1" applyNumberFormat="1" applyFont="1" applyBorder="1" applyAlignment="1"/>
    <xf numFmtId="171" fontId="13" fillId="0" borderId="48" xfId="1" applyNumberFormat="1" applyFont="1" applyBorder="1" applyAlignment="1"/>
    <xf numFmtId="1" fontId="13" fillId="0" borderId="0" xfId="1" applyNumberFormat="1" applyFont="1"/>
    <xf numFmtId="1" fontId="14" fillId="0" borderId="28" xfId="1" applyNumberFormat="1" applyFont="1" applyBorder="1" applyAlignment="1">
      <alignment horizontal="right"/>
    </xf>
    <xf numFmtId="10" fontId="13" fillId="0" borderId="41" xfId="1" applyNumberFormat="1" applyFont="1" applyBorder="1"/>
    <xf numFmtId="0" fontId="14" fillId="0" borderId="28" xfId="1" applyFont="1" applyBorder="1" applyAlignment="1">
      <alignment horizontal="right"/>
    </xf>
    <xf numFmtId="0" fontId="14" fillId="0" borderId="25" xfId="1" applyFont="1" applyBorder="1" applyAlignment="1">
      <alignment horizontal="right"/>
    </xf>
    <xf numFmtId="10" fontId="13" fillId="0" borderId="38" xfId="1" applyNumberFormat="1" applyFont="1" applyBorder="1"/>
    <xf numFmtId="1" fontId="12" fillId="9" borderId="30" xfId="1" applyNumberFormat="1" applyFont="1" applyFill="1" applyBorder="1" applyAlignment="1">
      <alignment horizontal="center"/>
    </xf>
    <xf numFmtId="172" fontId="12" fillId="18" borderId="27" xfId="1" applyNumberFormat="1" applyFont="1" applyFill="1" applyBorder="1" applyAlignment="1">
      <alignment horizontal="right"/>
    </xf>
    <xf numFmtId="172" fontId="12" fillId="18" borderId="26" xfId="1" applyNumberFormat="1" applyFont="1" applyFill="1" applyBorder="1" applyAlignment="1">
      <alignment horizontal="right"/>
    </xf>
    <xf numFmtId="172" fontId="13" fillId="0" borderId="24" xfId="1" applyNumberFormat="1" applyFont="1" applyBorder="1" applyAlignment="1">
      <alignment horizontal="right"/>
    </xf>
    <xf numFmtId="172" fontId="13" fillId="0" borderId="23" xfId="1" applyNumberFormat="1" applyFont="1" applyBorder="1" applyAlignment="1">
      <alignment horizontal="right"/>
    </xf>
    <xf numFmtId="172" fontId="13" fillId="0" borderId="22" xfId="1" applyNumberFormat="1" applyFont="1" applyBorder="1" applyAlignment="1">
      <alignment horizontal="right"/>
    </xf>
    <xf numFmtId="1" fontId="12" fillId="9" borderId="28" xfId="1" applyNumberFormat="1" applyFont="1" applyFill="1" applyBorder="1" applyAlignment="1">
      <alignment horizontal="center"/>
    </xf>
    <xf numFmtId="172" fontId="13" fillId="0" borderId="29" xfId="1" applyNumberFormat="1" applyFont="1" applyBorder="1" applyAlignment="1">
      <alignment horizontal="right"/>
    </xf>
    <xf numFmtId="0" fontId="12" fillId="9" borderId="21" xfId="1" applyFont="1" applyFill="1" applyBorder="1" applyAlignment="1">
      <alignment horizontal="center"/>
    </xf>
    <xf numFmtId="0" fontId="12" fillId="19" borderId="34" xfId="1" applyFont="1" applyFill="1" applyBorder="1" applyAlignment="1">
      <alignment horizontal="center" vertical="center"/>
    </xf>
    <xf numFmtId="0" fontId="12" fillId="20" borderId="33" xfId="1" applyFont="1" applyFill="1" applyBorder="1" applyAlignment="1">
      <alignment horizontal="center"/>
    </xf>
    <xf numFmtId="0" fontId="12" fillId="20" borderId="32" xfId="1" applyFont="1" applyFill="1" applyBorder="1" applyAlignment="1">
      <alignment horizontal="center"/>
    </xf>
    <xf numFmtId="0" fontId="12" fillId="20" borderId="31" xfId="1" applyFont="1" applyFill="1" applyBorder="1" applyAlignment="1">
      <alignment horizontal="center"/>
    </xf>
    <xf numFmtId="171" fontId="13" fillId="0" borderId="50" xfId="1" applyNumberFormat="1" applyFont="1" applyBorder="1" applyAlignment="1"/>
    <xf numFmtId="172" fontId="12" fillId="20" borderId="27" xfId="1" applyNumberFormat="1" applyFont="1" applyFill="1" applyBorder="1" applyAlignment="1">
      <alignment horizontal="right"/>
    </xf>
    <xf numFmtId="172" fontId="12" fillId="20" borderId="26" xfId="1" applyNumberFormat="1" applyFont="1" applyFill="1" applyBorder="1" applyAlignment="1">
      <alignment horizontal="right"/>
    </xf>
    <xf numFmtId="0" fontId="13" fillId="3" borderId="0" xfId="1" applyFont="1" applyFill="1"/>
    <xf numFmtId="0" fontId="12" fillId="10" borderId="34" xfId="1" applyFont="1" applyFill="1" applyBorder="1" applyAlignment="1">
      <alignment horizontal="center"/>
    </xf>
    <xf numFmtId="0" fontId="12" fillId="6" borderId="33" xfId="1" applyFont="1" applyFill="1" applyBorder="1" applyAlignment="1">
      <alignment horizontal="center"/>
    </xf>
    <xf numFmtId="0" fontId="12" fillId="6" borderId="32" xfId="1" applyFont="1" applyFill="1" applyBorder="1" applyAlignment="1">
      <alignment horizontal="center"/>
    </xf>
    <xf numFmtId="0" fontId="12" fillId="6" borderId="31" xfId="1" applyFont="1" applyFill="1" applyBorder="1" applyAlignment="1">
      <alignment horizontal="center"/>
    </xf>
    <xf numFmtId="172" fontId="12" fillId="6" borderId="27" xfId="1" applyNumberFormat="1" applyFont="1" applyFill="1" applyBorder="1" applyAlignment="1">
      <alignment horizontal="right"/>
    </xf>
    <xf numFmtId="172" fontId="12" fillId="6" borderId="26" xfId="1" applyNumberFormat="1" applyFont="1" applyFill="1" applyBorder="1" applyAlignment="1">
      <alignment horizontal="right"/>
    </xf>
    <xf numFmtId="3" fontId="12" fillId="18" borderId="27" xfId="1" applyNumberFormat="1" applyFont="1" applyFill="1" applyBorder="1" applyAlignment="1"/>
    <xf numFmtId="3" fontId="12" fillId="18" borderId="52" xfId="1" applyNumberFormat="1" applyFont="1" applyFill="1" applyBorder="1"/>
    <xf numFmtId="9" fontId="12" fillId="3" borderId="137" xfId="1" applyNumberFormat="1" applyFont="1" applyFill="1" applyBorder="1" applyAlignment="1">
      <alignment horizontal="center"/>
    </xf>
    <xf numFmtId="9" fontId="12" fillId="3" borderId="138" xfId="1" applyNumberFormat="1" applyFont="1" applyFill="1" applyBorder="1" applyAlignment="1">
      <alignment horizontal="center" wrapText="1"/>
    </xf>
    <xf numFmtId="9" fontId="12" fillId="3" borderId="139" xfId="1" applyNumberFormat="1" applyFont="1" applyFill="1" applyBorder="1" applyAlignment="1">
      <alignment horizontal="center"/>
    </xf>
    <xf numFmtId="10" fontId="13" fillId="0" borderId="50" xfId="1" applyNumberFormat="1" applyFont="1" applyBorder="1" applyAlignment="1"/>
    <xf numFmtId="1" fontId="13" fillId="0" borderId="43" xfId="1" applyNumberFormat="1" applyFont="1" applyBorder="1"/>
    <xf numFmtId="1" fontId="13" fillId="0" borderId="42" xfId="1" applyNumberFormat="1" applyFont="1" applyBorder="1"/>
    <xf numFmtId="10" fontId="13" fillId="0" borderId="98" xfId="1" applyNumberFormat="1" applyFont="1" applyBorder="1" applyAlignment="1">
      <alignment wrapText="1"/>
    </xf>
    <xf numFmtId="10" fontId="13" fillId="0" borderId="97" xfId="1" applyNumberFormat="1" applyFont="1" applyBorder="1"/>
    <xf numFmtId="10" fontId="13" fillId="0" borderId="128" xfId="1" applyNumberFormat="1" applyFont="1" applyBorder="1"/>
    <xf numFmtId="3" fontId="13" fillId="0" borderId="54" xfId="1" applyNumberFormat="1" applyFont="1" applyBorder="1" applyAlignment="1"/>
    <xf numFmtId="173" fontId="13" fillId="0" borderId="95" xfId="1" applyNumberFormat="1" applyFont="1" applyBorder="1" applyAlignment="1">
      <alignment wrapText="1"/>
    </xf>
    <xf numFmtId="173" fontId="13" fillId="0" borderId="91" xfId="1" applyNumberFormat="1" applyFont="1" applyBorder="1"/>
    <xf numFmtId="3" fontId="12" fillId="20" borderId="27" xfId="1" applyNumberFormat="1" applyFont="1" applyFill="1" applyBorder="1" applyAlignment="1"/>
    <xf numFmtId="3" fontId="12" fillId="20" borderId="52" xfId="1" applyNumberFormat="1" applyFont="1" applyFill="1" applyBorder="1"/>
    <xf numFmtId="10" fontId="13" fillId="13" borderId="93" xfId="1" applyNumberFormat="1" applyFont="1" applyFill="1" applyBorder="1" applyAlignment="1">
      <alignment wrapText="1"/>
    </xf>
    <xf numFmtId="10" fontId="13" fillId="13" borderId="92" xfId="1" applyNumberFormat="1" applyFont="1" applyFill="1" applyBorder="1" applyAlignment="1"/>
    <xf numFmtId="10" fontId="18" fillId="3" borderId="91" xfId="1" applyNumberFormat="1" applyFont="1" applyFill="1" applyBorder="1" applyAlignment="1"/>
    <xf numFmtId="10" fontId="18" fillId="3" borderId="130" xfId="1" applyNumberFormat="1" applyFont="1" applyFill="1" applyBorder="1" applyAlignment="1"/>
    <xf numFmtId="10" fontId="13" fillId="0" borderId="49" xfId="1" applyNumberFormat="1" applyFont="1" applyBorder="1" applyAlignment="1"/>
    <xf numFmtId="10" fontId="13" fillId="0" borderId="48" xfId="1" applyNumberFormat="1" applyFont="1" applyBorder="1"/>
    <xf numFmtId="10" fontId="13" fillId="13" borderId="94" xfId="1" applyNumberFormat="1" applyFont="1" applyFill="1" applyBorder="1" applyAlignment="1"/>
    <xf numFmtId="10" fontId="13" fillId="0" borderId="91" xfId="1" applyNumberFormat="1" applyFont="1" applyBorder="1" applyAlignment="1"/>
    <xf numFmtId="10" fontId="13" fillId="0" borderId="130" xfId="1" applyNumberFormat="1" applyFont="1" applyBorder="1" applyAlignment="1"/>
    <xf numFmtId="3" fontId="13" fillId="0" borderId="43" xfId="1" applyNumberFormat="1" applyFont="1" applyBorder="1"/>
    <xf numFmtId="3" fontId="13" fillId="0" borderId="42" xfId="1" applyNumberFormat="1" applyFont="1" applyBorder="1"/>
    <xf numFmtId="10" fontId="13" fillId="13" borderId="90" xfId="1" applyNumberFormat="1" applyFont="1" applyFill="1" applyBorder="1" applyAlignment="1">
      <alignment wrapText="1"/>
    </xf>
    <xf numFmtId="10" fontId="13" fillId="13" borderId="89" xfId="1" applyNumberFormat="1" applyFont="1" applyFill="1" applyBorder="1" applyAlignment="1"/>
    <xf numFmtId="10" fontId="13" fillId="0" borderId="88" xfId="1" applyNumberFormat="1" applyFont="1" applyBorder="1" applyAlignment="1"/>
    <xf numFmtId="10" fontId="13" fillId="0" borderId="132" xfId="1" applyNumberFormat="1" applyFont="1" applyBorder="1" applyAlignment="1"/>
    <xf numFmtId="9" fontId="13" fillId="9" borderId="78" xfId="1" applyNumberFormat="1" applyFont="1" applyFill="1" applyBorder="1" applyAlignment="1"/>
    <xf numFmtId="9" fontId="13" fillId="9" borderId="77" xfId="1" applyNumberFormat="1" applyFont="1" applyFill="1" applyBorder="1" applyAlignment="1"/>
    <xf numFmtId="0" fontId="13" fillId="0" borderId="75" xfId="1" applyFont="1" applyBorder="1"/>
    <xf numFmtId="0" fontId="13" fillId="0" borderId="74" xfId="1" applyFont="1" applyBorder="1"/>
    <xf numFmtId="4" fontId="13" fillId="0" borderId="74" xfId="1" applyNumberFormat="1" applyFont="1" applyBorder="1"/>
    <xf numFmtId="3" fontId="13" fillId="0" borderId="75" xfId="1" applyNumberFormat="1" applyFont="1" applyBorder="1"/>
    <xf numFmtId="3" fontId="13" fillId="0" borderId="74" xfId="1" applyNumberFormat="1" applyFont="1" applyBorder="1"/>
    <xf numFmtId="3" fontId="13" fillId="0" borderId="75" xfId="1" applyNumberFormat="1" applyFont="1" applyBorder="1" applyAlignment="1"/>
    <xf numFmtId="3" fontId="13" fillId="0" borderId="74" xfId="1" applyNumberFormat="1" applyFont="1" applyBorder="1" applyAlignment="1"/>
    <xf numFmtId="3" fontId="13" fillId="0" borderId="71" xfId="1" applyNumberFormat="1" applyFont="1" applyBorder="1"/>
    <xf numFmtId="3" fontId="13" fillId="0" borderId="70" xfId="1" applyNumberFormat="1" applyFont="1" applyBorder="1"/>
    <xf numFmtId="0" fontId="12" fillId="6" borderId="87" xfId="1" applyFont="1" applyFill="1" applyBorder="1" applyAlignment="1">
      <alignment horizontal="center" vertical="center" wrapText="1"/>
    </xf>
    <xf numFmtId="0" fontId="12" fillId="6" borderId="86" xfId="1" applyFont="1" applyFill="1" applyBorder="1" applyAlignment="1">
      <alignment horizontal="center" vertical="center" wrapText="1"/>
    </xf>
    <xf numFmtId="0" fontId="12" fillId="0" borderId="0" xfId="1" applyFont="1"/>
    <xf numFmtId="0" fontId="12" fillId="12" borderId="85" xfId="1" applyFont="1" applyFill="1" applyBorder="1" applyAlignment="1">
      <alignment horizontal="center"/>
    </xf>
    <xf numFmtId="170" fontId="12" fillId="6" borderId="84" xfId="1" applyNumberFormat="1" applyFont="1" applyFill="1" applyBorder="1" applyAlignment="1"/>
    <xf numFmtId="10" fontId="12" fillId="6" borderId="83" xfId="1" applyNumberFormat="1" applyFont="1" applyFill="1" applyBorder="1" applyAlignment="1"/>
    <xf numFmtId="0" fontId="14" fillId="9" borderId="30" xfId="1" applyFont="1" applyFill="1" applyBorder="1" applyAlignment="1">
      <alignment horizontal="right"/>
    </xf>
    <xf numFmtId="170" fontId="12" fillId="3" borderId="50" xfId="1" applyNumberFormat="1" applyFont="1" applyFill="1" applyBorder="1" applyAlignment="1"/>
    <xf numFmtId="10" fontId="12" fillId="3" borderId="49" xfId="1" applyNumberFormat="1" applyFont="1" applyFill="1" applyBorder="1"/>
    <xf numFmtId="10" fontId="12" fillId="3" borderId="61" xfId="1" applyNumberFormat="1" applyFont="1" applyFill="1" applyBorder="1"/>
    <xf numFmtId="0" fontId="12" fillId="0" borderId="0" xfId="1" applyFont="1" applyAlignment="1"/>
    <xf numFmtId="0" fontId="14" fillId="9" borderId="25" xfId="1" applyFont="1" applyFill="1" applyBorder="1" applyAlignment="1">
      <alignment horizontal="right"/>
    </xf>
    <xf numFmtId="170" fontId="12" fillId="3" borderId="43" xfId="1" applyNumberFormat="1" applyFont="1" applyFill="1" applyBorder="1" applyAlignment="1"/>
    <xf numFmtId="10" fontId="12" fillId="3" borderId="42" xfId="1" applyNumberFormat="1" applyFont="1" applyFill="1" applyBorder="1"/>
    <xf numFmtId="10" fontId="12" fillId="3" borderId="67" xfId="1" applyNumberFormat="1" applyFont="1" applyFill="1" applyBorder="1"/>
    <xf numFmtId="0" fontId="12" fillId="12" borderId="64" xfId="1" applyFont="1" applyFill="1" applyBorder="1" applyAlignment="1">
      <alignment horizontal="center"/>
    </xf>
    <xf numFmtId="170" fontId="12" fillId="6" borderId="82" xfId="1" applyNumberFormat="1" applyFont="1" applyFill="1" applyBorder="1" applyAlignment="1"/>
    <xf numFmtId="10" fontId="12" fillId="6" borderId="63" xfId="1" applyNumberFormat="1" applyFont="1" applyFill="1" applyBorder="1" applyAlignment="1"/>
    <xf numFmtId="10" fontId="12" fillId="6" borderId="46" xfId="1" applyNumberFormat="1" applyFont="1" applyFill="1" applyBorder="1"/>
    <xf numFmtId="170" fontId="14" fillId="0" borderId="50" xfId="1" applyNumberFormat="1" applyFont="1" applyBorder="1" applyAlignment="1"/>
    <xf numFmtId="10" fontId="13" fillId="0" borderId="81" xfId="1" applyNumberFormat="1" applyFont="1" applyBorder="1"/>
    <xf numFmtId="170" fontId="14" fillId="0" borderId="43" xfId="1" applyNumberFormat="1" applyFont="1" applyBorder="1" applyAlignment="1"/>
    <xf numFmtId="170" fontId="14" fillId="0" borderId="40" xfId="1" applyNumberFormat="1" applyFont="1" applyBorder="1" applyAlignment="1"/>
    <xf numFmtId="10" fontId="13" fillId="0" borderId="79" xfId="1" applyNumberFormat="1" applyFont="1" applyBorder="1"/>
    <xf numFmtId="170" fontId="16" fillId="6" borderId="47" xfId="1" applyNumberFormat="1" applyFont="1" applyFill="1" applyBorder="1" applyAlignment="1"/>
    <xf numFmtId="10" fontId="12" fillId="6" borderId="62" xfId="1" applyNumberFormat="1" applyFont="1" applyFill="1" applyBorder="1"/>
    <xf numFmtId="10" fontId="13" fillId="0" borderId="49" xfId="1" applyNumberFormat="1" applyFont="1" applyBorder="1"/>
    <xf numFmtId="10" fontId="13" fillId="0" borderId="61" xfId="1" applyNumberFormat="1" applyFont="1" applyBorder="1"/>
    <xf numFmtId="170" fontId="15" fillId="0" borderId="43" xfId="1" applyNumberFormat="1" applyFont="1" applyBorder="1" applyAlignment="1"/>
    <xf numFmtId="10" fontId="13" fillId="0" borderId="67" xfId="1" applyNumberFormat="1" applyFont="1" applyBorder="1"/>
    <xf numFmtId="10" fontId="14" fillId="3" borderId="39" xfId="1" applyNumberFormat="1" applyFont="1" applyFill="1" applyBorder="1"/>
    <xf numFmtId="10" fontId="13" fillId="0" borderId="65" xfId="1" applyNumberFormat="1" applyFont="1" applyBorder="1"/>
    <xf numFmtId="0" fontId="16" fillId="12" borderId="64" xfId="1" applyFont="1" applyFill="1" applyBorder="1" applyAlignment="1">
      <alignment horizontal="center"/>
    </xf>
    <xf numFmtId="10" fontId="16" fillId="6" borderId="63" xfId="1" applyNumberFormat="1" applyFont="1" applyFill="1" applyBorder="1" applyAlignment="1"/>
    <xf numFmtId="170" fontId="15" fillId="0" borderId="50" xfId="1" applyNumberFormat="1" applyFont="1" applyBorder="1" applyAlignment="1"/>
    <xf numFmtId="0" fontId="15" fillId="9" borderId="28" xfId="1" applyFont="1" applyFill="1" applyBorder="1" applyAlignment="1">
      <alignment horizontal="right"/>
    </xf>
    <xf numFmtId="10" fontId="11" fillId="3" borderId="42" xfId="1" applyNumberFormat="1" applyFont="1" applyFill="1" applyBorder="1"/>
    <xf numFmtId="0" fontId="15" fillId="9" borderId="25" xfId="1" applyFont="1" applyFill="1" applyBorder="1" applyAlignment="1">
      <alignment horizontal="right"/>
    </xf>
    <xf numFmtId="170" fontId="15" fillId="0" borderId="40" xfId="1" applyNumberFormat="1" applyFont="1" applyBorder="1" applyAlignment="1"/>
    <xf numFmtId="10" fontId="11" fillId="0" borderId="39" xfId="1" applyNumberFormat="1" applyFont="1" applyBorder="1"/>
    <xf numFmtId="0" fontId="14" fillId="9" borderId="60" xfId="1" applyFont="1" applyFill="1" applyBorder="1" applyAlignment="1">
      <alignment horizontal="right"/>
    </xf>
    <xf numFmtId="170" fontId="14" fillId="0" borderId="59" xfId="1" applyNumberFormat="1" applyFont="1" applyBorder="1" applyAlignment="1"/>
    <xf numFmtId="10" fontId="13" fillId="0" borderId="58" xfId="1" applyNumberFormat="1" applyFont="1" applyBorder="1"/>
    <xf numFmtId="10" fontId="13" fillId="0" borderId="57" xfId="1" applyNumberFormat="1" applyFont="1" applyBorder="1"/>
    <xf numFmtId="0" fontId="9" fillId="0" borderId="0" xfId="0" applyFont="1" applyAlignment="1">
      <alignment wrapText="1"/>
    </xf>
    <xf numFmtId="0" fontId="8" fillId="0" borderId="0" xfId="0" applyFont="1" applyAlignment="1">
      <alignment wrapText="1"/>
    </xf>
    <xf numFmtId="0" fontId="8" fillId="0" borderId="0" xfId="0" applyFont="1" applyBorder="1"/>
    <xf numFmtId="0" fontId="21" fillId="26" borderId="112" xfId="0" applyFont="1" applyFill="1" applyBorder="1"/>
    <xf numFmtId="0" fontId="8" fillId="0" borderId="0" xfId="0" applyFont="1" applyFill="1"/>
    <xf numFmtId="170" fontId="22" fillId="0" borderId="186" xfId="1" applyNumberFormat="1" applyFont="1" applyBorder="1"/>
    <xf numFmtId="170" fontId="22" fillId="0" borderId="189" xfId="1" applyNumberFormat="1" applyFont="1" applyBorder="1"/>
    <xf numFmtId="170" fontId="22" fillId="0" borderId="193" xfId="1" applyNumberFormat="1" applyFont="1" applyBorder="1"/>
    <xf numFmtId="0" fontId="22" fillId="0" borderId="195" xfId="1" applyFont="1" applyBorder="1" applyAlignment="1">
      <alignment horizontal="center"/>
    </xf>
    <xf numFmtId="170" fontId="22" fillId="0" borderId="198" xfId="1" applyNumberFormat="1" applyFont="1" applyBorder="1"/>
    <xf numFmtId="170" fontId="22" fillId="0" borderId="191" xfId="1" applyNumberFormat="1" applyFont="1" applyBorder="1" applyAlignment="1"/>
    <xf numFmtId="170" fontId="22" fillId="3" borderId="193" xfId="1" applyNumberFormat="1" applyFont="1" applyFill="1" applyBorder="1"/>
    <xf numFmtId="170" fontId="22" fillId="0" borderId="193" xfId="1" applyNumberFormat="1" applyFont="1" applyBorder="1" applyAlignment="1"/>
    <xf numFmtId="170" fontId="22" fillId="0" borderId="193" xfId="1" applyNumberFormat="1" applyFont="1" applyBorder="1" applyAlignment="1">
      <alignment wrapText="1"/>
    </xf>
    <xf numFmtId="0" fontId="22" fillId="3" borderId="74" xfId="1" applyFont="1" applyFill="1" applyBorder="1"/>
    <xf numFmtId="0" fontId="22" fillId="0" borderId="55" xfId="1" applyFont="1" applyBorder="1" applyAlignment="1">
      <alignment horizontal="center"/>
    </xf>
    <xf numFmtId="170" fontId="22" fillId="0" borderId="207" xfId="1" applyNumberFormat="1" applyFont="1" applyBorder="1"/>
    <xf numFmtId="0" fontId="22" fillId="0" borderId="212" xfId="1" applyFont="1" applyBorder="1" applyAlignment="1">
      <alignment horizontal="center"/>
    </xf>
    <xf numFmtId="170" fontId="22" fillId="0" borderId="207" xfId="1" applyNumberFormat="1" applyFont="1" applyBorder="1" applyAlignment="1"/>
    <xf numFmtId="170" fontId="22" fillId="0" borderId="207" xfId="1" applyNumberFormat="1" applyFont="1" applyBorder="1" applyAlignment="1">
      <alignment horizontal="right"/>
    </xf>
    <xf numFmtId="170" fontId="22" fillId="0" borderId="207" xfId="1" applyNumberFormat="1" applyFont="1" applyBorder="1" applyAlignment="1">
      <alignment horizontal="right" wrapText="1"/>
    </xf>
    <xf numFmtId="171" fontId="22" fillId="0" borderId="207" xfId="1" applyNumberFormat="1" applyFont="1" applyBorder="1"/>
    <xf numFmtId="0" fontId="22" fillId="0" borderId="85" xfId="1" applyFont="1" applyBorder="1" applyAlignment="1">
      <alignment horizontal="center"/>
    </xf>
    <xf numFmtId="170" fontId="22" fillId="2" borderId="193" xfId="1" applyNumberFormat="1" applyFont="1" applyFill="1" applyBorder="1"/>
    <xf numFmtId="0" fontId="24" fillId="0" borderId="0" xfId="1" applyFont="1"/>
    <xf numFmtId="0" fontId="25" fillId="0" borderId="0" xfId="1" applyFont="1" applyAlignment="1">
      <alignment horizontal="center"/>
    </xf>
    <xf numFmtId="0" fontId="25" fillId="0" borderId="0" xfId="1" applyFont="1" applyAlignment="1"/>
    <xf numFmtId="0" fontId="24" fillId="0" borderId="0" xfId="1" applyFont="1" applyAlignment="1"/>
    <xf numFmtId="170" fontId="24" fillId="0" borderId="0" xfId="1" applyNumberFormat="1" applyFont="1"/>
    <xf numFmtId="0" fontId="26" fillId="3" borderId="234" xfId="1" applyFont="1" applyFill="1" applyBorder="1" applyAlignment="1">
      <alignment horizontal="left"/>
    </xf>
    <xf numFmtId="0" fontId="24" fillId="3" borderId="234" xfId="1" applyFont="1" applyFill="1" applyBorder="1"/>
    <xf numFmtId="170" fontId="24" fillId="3" borderId="234" xfId="1" applyNumberFormat="1" applyFont="1" applyFill="1" applyBorder="1" applyAlignment="1"/>
    <xf numFmtId="0" fontId="25" fillId="3" borderId="234" xfId="1" applyFont="1" applyFill="1" applyBorder="1"/>
    <xf numFmtId="0" fontId="27" fillId="0" borderId="0" xfId="0" applyFont="1"/>
    <xf numFmtId="0" fontId="24" fillId="0" borderId="0" xfId="1" applyFont="1" applyAlignment="1">
      <alignment wrapText="1"/>
    </xf>
    <xf numFmtId="0" fontId="25" fillId="44" borderId="85" xfId="1" applyFont="1" applyFill="1" applyBorder="1" applyAlignment="1"/>
    <xf numFmtId="0" fontId="25" fillId="44" borderId="224" xfId="1" applyFont="1" applyFill="1" applyBorder="1" applyAlignment="1">
      <alignment horizontal="center"/>
    </xf>
    <xf numFmtId="0" fontId="25" fillId="44" borderId="64" xfId="1" applyFont="1" applyFill="1" applyBorder="1" applyAlignment="1"/>
    <xf numFmtId="171" fontId="24" fillId="9" borderId="75" xfId="1" applyNumberFormat="1" applyFont="1" applyFill="1" applyBorder="1" applyAlignment="1">
      <alignment wrapText="1"/>
    </xf>
    <xf numFmtId="169" fontId="24" fillId="9" borderId="74" xfId="6" applyFont="1" applyFill="1" applyBorder="1" applyAlignment="1">
      <alignment wrapText="1"/>
    </xf>
    <xf numFmtId="0" fontId="25" fillId="44" borderId="35" xfId="1" applyFont="1" applyFill="1" applyBorder="1" applyAlignment="1">
      <alignment horizontal="center"/>
    </xf>
    <xf numFmtId="0" fontId="24" fillId="9" borderId="78" xfId="1" applyFont="1" applyFill="1" applyBorder="1" applyAlignment="1"/>
    <xf numFmtId="0" fontId="24" fillId="9" borderId="77" xfId="1" applyFont="1" applyFill="1" applyBorder="1" applyAlignment="1"/>
    <xf numFmtId="0" fontId="30" fillId="9" borderId="77" xfId="1" applyFont="1" applyFill="1" applyBorder="1" applyAlignment="1"/>
    <xf numFmtId="0" fontId="25" fillId="39" borderId="85" xfId="1" applyFont="1" applyFill="1" applyBorder="1" applyAlignment="1"/>
    <xf numFmtId="0" fontId="29" fillId="13" borderId="64" xfId="1" applyFont="1" applyFill="1" applyBorder="1" applyAlignment="1">
      <alignment horizontal="right"/>
    </xf>
    <xf numFmtId="3" fontId="24" fillId="9" borderId="7" xfId="1" applyNumberFormat="1" applyFont="1" applyFill="1" applyBorder="1" applyAlignment="1">
      <alignment horizontal="right"/>
    </xf>
    <xf numFmtId="10" fontId="24" fillId="9" borderId="7" xfId="1" applyNumberFormat="1" applyFont="1" applyFill="1" applyBorder="1" applyAlignment="1">
      <alignment horizontal="right"/>
    </xf>
    <xf numFmtId="4" fontId="24" fillId="9" borderId="7" xfId="1" applyNumberFormat="1" applyFont="1" applyFill="1" applyBorder="1" applyAlignment="1">
      <alignment horizontal="right"/>
    </xf>
    <xf numFmtId="0" fontId="25" fillId="32" borderId="106" xfId="1" applyFont="1" applyFill="1" applyBorder="1" applyAlignment="1">
      <alignment horizontal="center"/>
    </xf>
    <xf numFmtId="3" fontId="25" fillId="9" borderId="231" xfId="1" applyNumberFormat="1" applyFont="1" applyFill="1" applyBorder="1" applyAlignment="1">
      <alignment horizontal="right"/>
    </xf>
    <xf numFmtId="170" fontId="25" fillId="9" borderId="231" xfId="1" applyNumberFormat="1" applyFont="1" applyFill="1" applyBorder="1" applyAlignment="1">
      <alignment horizontal="right"/>
    </xf>
    <xf numFmtId="0" fontId="25" fillId="32" borderId="34" xfId="1" applyFont="1" applyFill="1" applyBorder="1" applyAlignment="1"/>
    <xf numFmtId="0" fontId="25" fillId="0" borderId="85" xfId="1" applyFont="1" applyBorder="1" applyAlignment="1"/>
    <xf numFmtId="171" fontId="24" fillId="0" borderId="224" xfId="1" applyNumberFormat="1" applyFont="1" applyBorder="1" applyAlignment="1"/>
    <xf numFmtId="0" fontId="25" fillId="32" borderId="85" xfId="1" applyFont="1" applyFill="1" applyBorder="1" applyAlignment="1"/>
    <xf numFmtId="0" fontId="25" fillId="32" borderId="224" xfId="1" applyFont="1" applyFill="1" applyBorder="1" applyAlignment="1"/>
    <xf numFmtId="0" fontId="25" fillId="0" borderId="64" xfId="1" applyFont="1" applyBorder="1" applyAlignment="1"/>
    <xf numFmtId="171" fontId="24" fillId="0" borderId="225" xfId="1" applyNumberFormat="1" applyFont="1" applyBorder="1" applyAlignment="1"/>
    <xf numFmtId="170" fontId="24" fillId="9" borderId="64" xfId="1" applyNumberFormat="1" applyFont="1" applyFill="1" applyBorder="1" applyAlignment="1">
      <alignment horizontal="right"/>
    </xf>
    <xf numFmtId="170" fontId="24" fillId="9" borderId="225" xfId="1" applyNumberFormat="1" applyFont="1" applyFill="1" applyBorder="1" applyAlignment="1">
      <alignment horizontal="right"/>
    </xf>
    <xf numFmtId="0" fontId="25" fillId="0" borderId="230" xfId="1" applyFont="1" applyBorder="1" applyAlignment="1"/>
    <xf numFmtId="10" fontId="24" fillId="0" borderId="229" xfId="1" applyNumberFormat="1" applyFont="1" applyBorder="1"/>
    <xf numFmtId="170" fontId="25" fillId="9" borderId="106" xfId="1" applyNumberFormat="1" applyFont="1" applyFill="1" applyBorder="1" applyAlignment="1">
      <alignment horizontal="right"/>
    </xf>
    <xf numFmtId="0" fontId="25" fillId="32" borderId="227" xfId="1" applyFont="1" applyFill="1" applyBorder="1" applyAlignment="1"/>
    <xf numFmtId="0" fontId="24" fillId="32" borderId="62" xfId="1" applyFont="1" applyFill="1" applyBorder="1" applyAlignment="1"/>
    <xf numFmtId="0" fontId="25" fillId="0" borderId="55" xfId="1" applyFont="1" applyBorder="1" applyAlignment="1"/>
    <xf numFmtId="0" fontId="24" fillId="0" borderId="226" xfId="1" applyFont="1" applyBorder="1" applyAlignment="1"/>
    <xf numFmtId="0" fontId="24" fillId="0" borderId="225" xfId="1" applyFont="1" applyBorder="1" applyAlignment="1"/>
    <xf numFmtId="0" fontId="24" fillId="0" borderId="225" xfId="1" applyFont="1" applyBorder="1"/>
    <xf numFmtId="0" fontId="25" fillId="0" borderId="35" xfId="1" applyFont="1" applyBorder="1" applyAlignment="1"/>
    <xf numFmtId="0" fontId="24" fillId="0" borderId="223" xfId="1" applyFont="1" applyBorder="1"/>
    <xf numFmtId="0" fontId="30" fillId="0" borderId="0" xfId="1" applyFont="1" applyAlignment="1"/>
    <xf numFmtId="0" fontId="31" fillId="0" borderId="0" xfId="0" applyFont="1" applyAlignment="1">
      <alignment horizontal="center"/>
    </xf>
    <xf numFmtId="0" fontId="25" fillId="3" borderId="0" xfId="1" applyFont="1" applyFill="1" applyBorder="1"/>
    <xf numFmtId="10" fontId="30" fillId="0" borderId="13" xfId="1" applyNumberFormat="1" applyFont="1" applyBorder="1" applyAlignment="1"/>
    <xf numFmtId="0" fontId="26" fillId="19" borderId="13" xfId="1" applyFont="1" applyFill="1" applyBorder="1" applyAlignment="1">
      <alignment horizontal="center"/>
    </xf>
    <xf numFmtId="0" fontId="26" fillId="19" borderId="14" xfId="1" applyFont="1" applyFill="1" applyBorder="1" applyAlignment="1">
      <alignment horizontal="center"/>
    </xf>
    <xf numFmtId="0" fontId="25" fillId="21" borderId="250" xfId="1" applyFont="1" applyFill="1" applyBorder="1" applyAlignment="1">
      <alignment horizontal="left" wrapText="1"/>
    </xf>
    <xf numFmtId="0" fontId="25" fillId="21" borderId="240" xfId="1" applyFont="1" applyFill="1" applyBorder="1" applyAlignment="1">
      <alignment horizontal="left" wrapText="1"/>
    </xf>
    <xf numFmtId="0" fontId="25" fillId="21" borderId="243" xfId="1" applyFont="1" applyFill="1" applyBorder="1" applyAlignment="1">
      <alignment horizontal="left" wrapText="1"/>
    </xf>
    <xf numFmtId="0" fontId="31" fillId="16" borderId="241" xfId="0" applyFont="1" applyFill="1" applyBorder="1" applyAlignment="1">
      <alignment horizontal="center"/>
    </xf>
    <xf numFmtId="0" fontId="26" fillId="17" borderId="238" xfId="1" applyFont="1" applyFill="1" applyBorder="1" applyAlignment="1">
      <alignment horizontal="center"/>
    </xf>
    <xf numFmtId="0" fontId="32" fillId="17" borderId="238" xfId="1" applyFont="1" applyFill="1" applyBorder="1" applyAlignment="1">
      <alignment horizontal="right"/>
    </xf>
    <xf numFmtId="10" fontId="31" fillId="20" borderId="242" xfId="0" applyNumberFormat="1" applyFont="1" applyFill="1" applyBorder="1"/>
    <xf numFmtId="10" fontId="31" fillId="20" borderId="15" xfId="0" applyNumberFormat="1" applyFont="1" applyFill="1" applyBorder="1"/>
    <xf numFmtId="0" fontId="25" fillId="46" borderId="0" xfId="1" applyFont="1" applyFill="1" applyBorder="1" applyAlignment="1">
      <alignment horizontal="center"/>
    </xf>
    <xf numFmtId="10" fontId="24" fillId="9" borderId="0" xfId="1" applyNumberFormat="1" applyFont="1" applyFill="1" applyBorder="1"/>
    <xf numFmtId="0" fontId="25" fillId="35" borderId="254" xfId="1" applyFont="1" applyFill="1" applyBorder="1" applyAlignment="1">
      <alignment wrapText="1"/>
    </xf>
    <xf numFmtId="0" fontId="25" fillId="35" borderId="255" xfId="1" applyFont="1" applyFill="1" applyBorder="1" applyAlignment="1">
      <alignment horizontal="center" wrapText="1"/>
    </xf>
    <xf numFmtId="0" fontId="25" fillId="45" borderId="122" xfId="1" applyFont="1" applyFill="1" applyBorder="1" applyAlignment="1">
      <alignment horizontal="center"/>
    </xf>
    <xf numFmtId="0" fontId="28" fillId="21" borderId="256" xfId="1" applyFont="1" applyFill="1" applyBorder="1" applyAlignment="1">
      <alignment horizontal="right" wrapText="1"/>
    </xf>
    <xf numFmtId="0" fontId="28" fillId="21" borderId="257" xfId="1" applyFont="1" applyFill="1" applyBorder="1" applyAlignment="1">
      <alignment horizontal="right" wrapText="1"/>
    </xf>
    <xf numFmtId="0" fontId="28" fillId="21" borderId="258" xfId="1" applyFont="1" applyFill="1" applyBorder="1" applyAlignment="1">
      <alignment horizontal="right" wrapText="1"/>
    </xf>
    <xf numFmtId="0" fontId="31" fillId="0" borderId="117" xfId="0" applyFont="1" applyBorder="1" applyAlignment="1">
      <alignment horizontal="center"/>
    </xf>
    <xf numFmtId="0" fontId="31" fillId="19" borderId="162" xfId="0" applyFont="1" applyFill="1" applyBorder="1" applyAlignment="1">
      <alignment horizontal="center"/>
    </xf>
    <xf numFmtId="0" fontId="31" fillId="19" borderId="160" xfId="0" applyFont="1" applyFill="1" applyBorder="1" applyAlignment="1">
      <alignment horizontal="center"/>
    </xf>
    <xf numFmtId="0" fontId="23" fillId="34" borderId="261" xfId="1" applyFont="1" applyFill="1" applyBorder="1" applyAlignment="1">
      <alignment horizontal="center" vertical="center" wrapText="1"/>
    </xf>
    <xf numFmtId="0" fontId="25" fillId="29" borderId="262" xfId="1" applyFont="1" applyFill="1" applyBorder="1" applyAlignment="1">
      <alignment horizontal="center" vertical="center" wrapText="1"/>
    </xf>
    <xf numFmtId="0" fontId="28" fillId="34" borderId="263" xfId="1" applyFont="1" applyFill="1" applyBorder="1" applyAlignment="1">
      <alignment horizontal="right" wrapText="1"/>
    </xf>
    <xf numFmtId="0" fontId="28" fillId="34" borderId="129" xfId="1" applyFont="1" applyFill="1" applyBorder="1" applyAlignment="1">
      <alignment horizontal="right" wrapText="1"/>
    </xf>
    <xf numFmtId="0" fontId="25" fillId="0" borderId="117" xfId="1" applyFont="1" applyBorder="1" applyAlignment="1">
      <alignment horizontal="center"/>
    </xf>
    <xf numFmtId="0" fontId="24" fillId="0" borderId="264" xfId="1" applyFont="1" applyBorder="1"/>
    <xf numFmtId="169" fontId="24" fillId="9" borderId="70" xfId="6" applyFont="1" applyFill="1" applyBorder="1" applyAlignment="1">
      <alignment wrapText="1"/>
    </xf>
    <xf numFmtId="0" fontId="24" fillId="9" borderId="71" xfId="1" applyFont="1" applyFill="1" applyBorder="1" applyAlignment="1">
      <alignment wrapText="1"/>
    </xf>
    <xf numFmtId="0" fontId="28" fillId="34" borderId="265" xfId="1" applyFont="1" applyFill="1" applyBorder="1" applyAlignment="1">
      <alignment horizontal="right" wrapText="1"/>
    </xf>
    <xf numFmtId="171" fontId="25" fillId="34" borderId="18" xfId="1" applyNumberFormat="1" applyFont="1" applyFill="1" applyBorder="1"/>
    <xf numFmtId="171" fontId="25" fillId="34" borderId="18" xfId="1" applyNumberFormat="1" applyFont="1" applyFill="1" applyBorder="1" applyAlignment="1">
      <alignment wrapText="1"/>
    </xf>
    <xf numFmtId="169" fontId="25" fillId="5" borderId="267" xfId="6" applyFont="1" applyFill="1" applyBorder="1" applyAlignment="1">
      <alignment wrapText="1"/>
    </xf>
    <xf numFmtId="169" fontId="25" fillId="5" borderId="268" xfId="6" applyFont="1" applyFill="1" applyBorder="1" applyAlignment="1">
      <alignment wrapText="1"/>
    </xf>
    <xf numFmtId="169" fontId="25" fillId="5" borderId="269" xfId="6" applyFont="1" applyFill="1" applyBorder="1" applyAlignment="1">
      <alignment wrapText="1"/>
    </xf>
    <xf numFmtId="0" fontId="30" fillId="0" borderId="264" xfId="1" applyFont="1" applyBorder="1" applyAlignment="1"/>
    <xf numFmtId="0" fontId="25" fillId="29" borderId="270" xfId="1" applyFont="1" applyFill="1" applyBorder="1" applyAlignment="1">
      <alignment horizontal="center" vertical="center" wrapText="1"/>
    </xf>
    <xf numFmtId="0" fontId="25" fillId="29" borderId="271" xfId="1" applyFont="1" applyFill="1" applyBorder="1" applyAlignment="1">
      <alignment horizontal="center" vertical="center" wrapText="1"/>
    </xf>
    <xf numFmtId="171" fontId="24" fillId="9" borderId="78" xfId="1" applyNumberFormat="1" applyFont="1" applyFill="1" applyBorder="1" applyAlignment="1">
      <alignment wrapText="1"/>
    </xf>
    <xf numFmtId="169" fontId="24" fillId="9" borderId="77" xfId="6" applyFont="1" applyFill="1" applyBorder="1" applyAlignment="1">
      <alignment wrapText="1"/>
    </xf>
    <xf numFmtId="0" fontId="31" fillId="8" borderId="248" xfId="0" applyFont="1" applyFill="1" applyBorder="1" applyAlignment="1">
      <alignment horizontal="center" vertical="center" wrapText="1"/>
    </xf>
    <xf numFmtId="0" fontId="31" fillId="19" borderId="248" xfId="0" applyFont="1" applyFill="1" applyBorder="1" applyAlignment="1">
      <alignment horizontal="center" vertical="center" wrapText="1"/>
    </xf>
    <xf numFmtId="0" fontId="24" fillId="0" borderId="244" xfId="1" applyFont="1" applyBorder="1"/>
    <xf numFmtId="0" fontId="25" fillId="19" borderId="162" xfId="1" applyFont="1" applyFill="1" applyBorder="1" applyAlignment="1">
      <alignment horizontal="center"/>
    </xf>
    <xf numFmtId="0" fontId="25" fillId="19" borderId="160" xfId="1" applyFont="1" applyFill="1" applyBorder="1" applyAlignment="1">
      <alignment horizontal="center"/>
    </xf>
    <xf numFmtId="0" fontId="28" fillId="21" borderId="238" xfId="1" applyFont="1" applyFill="1" applyBorder="1" applyAlignment="1">
      <alignment horizontal="right"/>
    </xf>
    <xf numFmtId="0" fontId="28" fillId="21" borderId="272" xfId="1" applyFont="1" applyFill="1" applyBorder="1" applyAlignment="1">
      <alignment horizontal="right"/>
    </xf>
    <xf numFmtId="10" fontId="24" fillId="0" borderId="0" xfId="1" applyNumberFormat="1" applyFont="1"/>
    <xf numFmtId="0" fontId="0" fillId="2" borderId="0" xfId="0" applyFill="1"/>
    <xf numFmtId="0" fontId="12" fillId="0" borderId="0" xfId="1" applyFont="1" applyAlignment="1">
      <alignment horizontal="center"/>
    </xf>
    <xf numFmtId="0" fontId="13" fillId="0" borderId="0" xfId="1" applyFont="1" applyAlignment="1"/>
    <xf numFmtId="0" fontId="12" fillId="0" borderId="0" xfId="1" applyFont="1" applyAlignment="1">
      <alignment textRotation="90"/>
    </xf>
    <xf numFmtId="9" fontId="13" fillId="0" borderId="7" xfId="1" applyNumberFormat="1" applyFont="1" applyBorder="1" applyAlignment="1"/>
    <xf numFmtId="0" fontId="13" fillId="0" borderId="7" xfId="1" quotePrefix="1" applyFont="1" applyBorder="1" applyAlignment="1"/>
    <xf numFmtId="0" fontId="13" fillId="0" borderId="7" xfId="1" applyFont="1" applyBorder="1" applyAlignment="1"/>
    <xf numFmtId="0" fontId="11" fillId="3" borderId="7" xfId="1" applyFont="1" applyFill="1" applyBorder="1" applyAlignment="1">
      <alignment horizontal="left"/>
    </xf>
    <xf numFmtId="0" fontId="12" fillId="0" borderId="7" xfId="1" applyFont="1" applyBorder="1" applyAlignment="1"/>
    <xf numFmtId="0" fontId="12" fillId="4" borderId="7" xfId="1" applyFont="1" applyFill="1" applyBorder="1" applyAlignment="1"/>
    <xf numFmtId="0" fontId="34" fillId="0" borderId="0" xfId="1" applyFont="1" applyAlignment="1"/>
    <xf numFmtId="0" fontId="13" fillId="0" borderId="0" xfId="1" applyFont="1" applyAlignment="1">
      <alignment textRotation="90"/>
    </xf>
    <xf numFmtId="0" fontId="11" fillId="3" borderId="0" xfId="1" applyFont="1" applyFill="1" applyAlignment="1">
      <alignment horizontal="left"/>
    </xf>
    <xf numFmtId="0" fontId="24" fillId="0" borderId="0" xfId="1" applyFont="1" applyBorder="1" applyAlignment="1"/>
    <xf numFmtId="0" fontId="31" fillId="0" borderId="0" xfId="0" applyFont="1"/>
    <xf numFmtId="0" fontId="27" fillId="0" borderId="264" xfId="0" applyFont="1" applyBorder="1"/>
    <xf numFmtId="10" fontId="30" fillId="0" borderId="14" xfId="1" applyNumberFormat="1" applyFont="1" applyBorder="1" applyAlignment="1"/>
    <xf numFmtId="10" fontId="30" fillId="0" borderId="245" xfId="1" applyNumberFormat="1" applyFont="1" applyBorder="1" applyAlignment="1"/>
    <xf numFmtId="10" fontId="30" fillId="0" borderId="246" xfId="1" applyNumberFormat="1" applyFont="1" applyBorder="1" applyAlignment="1"/>
    <xf numFmtId="3" fontId="25" fillId="20" borderId="162" xfId="1" applyNumberFormat="1" applyFont="1" applyFill="1" applyBorder="1" applyAlignment="1">
      <alignment horizontal="center"/>
    </xf>
    <xf numFmtId="3" fontId="25" fillId="20" borderId="160" xfId="1" applyNumberFormat="1" applyFont="1" applyFill="1" applyBorder="1" applyAlignment="1">
      <alignment horizontal="center"/>
    </xf>
    <xf numFmtId="0" fontId="28" fillId="42" borderId="288" xfId="1" applyFont="1" applyFill="1" applyBorder="1" applyAlignment="1">
      <alignment horizontal="center"/>
    </xf>
    <xf numFmtId="0" fontId="28" fillId="15" borderId="288" xfId="1" applyFont="1" applyFill="1" applyBorder="1" applyAlignment="1">
      <alignment horizontal="center"/>
    </xf>
    <xf numFmtId="0" fontId="28" fillId="42" borderId="289" xfId="1" applyFont="1" applyFill="1" applyBorder="1" applyAlignment="1">
      <alignment horizontal="center"/>
    </xf>
    <xf numFmtId="170" fontId="24" fillId="3" borderId="290" xfId="1" applyNumberFormat="1" applyFont="1" applyFill="1" applyBorder="1" applyAlignment="1">
      <alignment horizontal="left"/>
    </xf>
    <xf numFmtId="0" fontId="29" fillId="9" borderId="290" xfId="1" applyFont="1" applyFill="1" applyBorder="1" applyAlignment="1"/>
    <xf numFmtId="170" fontId="24" fillId="3" borderId="292" xfId="1" applyNumberFormat="1" applyFont="1" applyFill="1" applyBorder="1" applyAlignment="1">
      <alignment horizontal="left"/>
    </xf>
    <xf numFmtId="170" fontId="25" fillId="42" borderId="148" xfId="1" applyNumberFormat="1" applyFont="1" applyFill="1" applyBorder="1" applyAlignment="1">
      <alignment horizontal="center"/>
    </xf>
    <xf numFmtId="170" fontId="25" fillId="0" borderId="295" xfId="1" applyNumberFormat="1" applyFont="1" applyBorder="1" applyAlignment="1">
      <alignment horizontal="center"/>
    </xf>
    <xf numFmtId="0" fontId="25" fillId="42" borderId="17" xfId="1" applyFont="1" applyFill="1" applyBorder="1" applyAlignment="1">
      <alignment horizontal="center"/>
    </xf>
    <xf numFmtId="170" fontId="26" fillId="11" borderId="136" xfId="1" applyNumberFormat="1" applyFont="1" applyFill="1" applyBorder="1" applyAlignment="1"/>
    <xf numFmtId="170" fontId="25" fillId="15" borderId="247" xfId="1" applyNumberFormat="1" applyFont="1" applyFill="1" applyBorder="1" applyAlignment="1">
      <alignment horizontal="center"/>
    </xf>
    <xf numFmtId="170" fontId="25" fillId="15" borderId="115" xfId="1" applyNumberFormat="1" applyFont="1" applyFill="1" applyBorder="1" applyAlignment="1">
      <alignment horizontal="center"/>
    </xf>
    <xf numFmtId="0" fontId="30" fillId="0" borderId="0" xfId="1" applyFont="1"/>
    <xf numFmtId="0" fontId="26" fillId="13" borderId="205" xfId="1" applyFont="1" applyFill="1" applyBorder="1" applyAlignment="1"/>
    <xf numFmtId="3" fontId="30" fillId="0" borderId="0" xfId="1" applyNumberFormat="1" applyFont="1"/>
    <xf numFmtId="0" fontId="26" fillId="13" borderId="121" xfId="1" applyFont="1" applyFill="1" applyBorder="1" applyAlignment="1"/>
    <xf numFmtId="0" fontId="26" fillId="0" borderId="87" xfId="1" applyFont="1" applyBorder="1" applyAlignment="1">
      <alignment horizontal="center" vertical="center" wrapText="1"/>
    </xf>
    <xf numFmtId="0" fontId="26" fillId="0" borderId="204" xfId="1" applyFont="1" applyBorder="1" applyAlignment="1">
      <alignment horizontal="center" vertical="center" wrapText="1"/>
    </xf>
    <xf numFmtId="0" fontId="26" fillId="0" borderId="86" xfId="1" applyFont="1" applyBorder="1" applyAlignment="1">
      <alignment horizontal="center" vertical="center" wrapText="1"/>
    </xf>
    <xf numFmtId="0" fontId="26" fillId="0" borderId="203" xfId="1" applyFont="1" applyBorder="1" applyAlignment="1">
      <alignment horizontal="center" vertical="center" wrapText="1"/>
    </xf>
    <xf numFmtId="0" fontId="26" fillId="0" borderId="96" xfId="1" applyFont="1" applyBorder="1" applyAlignment="1">
      <alignment horizontal="center" vertical="center" wrapText="1"/>
    </xf>
    <xf numFmtId="0" fontId="26" fillId="0" borderId="56" xfId="1" applyFont="1" applyBorder="1" applyAlignment="1">
      <alignment horizontal="center" vertical="center" wrapText="1"/>
    </xf>
    <xf numFmtId="0" fontId="30" fillId="0" borderId="0" xfId="1" applyFont="1" applyAlignment="1">
      <alignment wrapText="1"/>
    </xf>
    <xf numFmtId="0" fontId="30" fillId="0" borderId="78" xfId="1" applyFont="1" applyBorder="1"/>
    <xf numFmtId="0" fontId="30" fillId="0" borderId="77" xfId="1" applyFont="1" applyBorder="1"/>
    <xf numFmtId="0" fontId="30" fillId="0" borderId="202" xfId="1" applyFont="1" applyBorder="1"/>
    <xf numFmtId="170" fontId="30" fillId="0" borderId="201" xfId="1" applyNumberFormat="1" applyFont="1" applyBorder="1"/>
    <xf numFmtId="0" fontId="30" fillId="0" borderId="76" xfId="1" applyFont="1" applyBorder="1"/>
    <xf numFmtId="0" fontId="30" fillId="0" borderId="75" xfId="1" applyFont="1" applyBorder="1" applyAlignment="1"/>
    <xf numFmtId="0" fontId="30" fillId="0" borderId="74" xfId="1" applyFont="1" applyBorder="1"/>
    <xf numFmtId="0" fontId="30" fillId="0" borderId="194" xfId="1" applyFont="1" applyBorder="1"/>
    <xf numFmtId="10" fontId="26" fillId="0" borderId="74" xfId="1" applyNumberFormat="1" applyFont="1" applyBorder="1"/>
    <xf numFmtId="10" fontId="26" fillId="0" borderId="73" xfId="1" applyNumberFormat="1" applyFont="1" applyBorder="1"/>
    <xf numFmtId="0" fontId="35" fillId="0" borderId="28" xfId="1" applyFont="1" applyBorder="1" applyAlignment="1">
      <alignment horizontal="right" wrapText="1"/>
    </xf>
    <xf numFmtId="0" fontId="30" fillId="35" borderId="74" xfId="1" applyFont="1" applyFill="1" applyBorder="1"/>
    <xf numFmtId="170" fontId="30" fillId="0" borderId="193" xfId="1" applyNumberFormat="1" applyFont="1" applyBorder="1"/>
    <xf numFmtId="0" fontId="30" fillId="35" borderId="75" xfId="1" applyFont="1" applyFill="1" applyBorder="1"/>
    <xf numFmtId="0" fontId="26" fillId="0" borderId="28" xfId="1" applyFont="1" applyBorder="1" applyAlignment="1"/>
    <xf numFmtId="0" fontId="30" fillId="34" borderId="75" xfId="1" applyFont="1" applyFill="1" applyBorder="1"/>
    <xf numFmtId="0" fontId="30" fillId="34" borderId="74" xfId="1" applyFont="1" applyFill="1" applyBorder="1"/>
    <xf numFmtId="0" fontId="30" fillId="34" borderId="194" xfId="1" applyFont="1" applyFill="1" applyBorder="1"/>
    <xf numFmtId="9" fontId="26" fillId="0" borderId="74" xfId="1" applyNumberFormat="1" applyFont="1" applyBorder="1" applyAlignment="1">
      <alignment horizontal="right"/>
    </xf>
    <xf numFmtId="9" fontId="26" fillId="0" borderId="73" xfId="1" applyNumberFormat="1" applyFont="1" applyBorder="1" applyAlignment="1">
      <alignment horizontal="right"/>
    </xf>
    <xf numFmtId="0" fontId="26" fillId="0" borderId="28" xfId="1" applyFont="1" applyBorder="1" applyAlignment="1">
      <alignment wrapText="1"/>
    </xf>
    <xf numFmtId="0" fontId="30" fillId="0" borderId="75" xfId="1" applyFont="1" applyBorder="1" applyAlignment="1">
      <alignment wrapText="1"/>
    </xf>
    <xf numFmtId="0" fontId="30" fillId="0" borderId="74" xfId="1" applyFont="1" applyBorder="1" applyAlignment="1">
      <alignment wrapText="1"/>
    </xf>
    <xf numFmtId="0" fontId="30" fillId="0" borderId="194" xfId="1" applyFont="1" applyBorder="1" applyAlignment="1">
      <alignment wrapText="1"/>
    </xf>
    <xf numFmtId="10" fontId="26" fillId="0" borderId="74" xfId="1" applyNumberFormat="1" applyFont="1" applyBorder="1" applyAlignment="1">
      <alignment horizontal="right" wrapText="1"/>
    </xf>
    <xf numFmtId="10" fontId="26" fillId="0" borderId="73" xfId="1" applyNumberFormat="1" applyFont="1" applyBorder="1" applyAlignment="1">
      <alignment horizontal="right" wrapText="1"/>
    </xf>
    <xf numFmtId="0" fontId="35" fillId="0" borderId="0" xfId="1" applyFont="1" applyAlignment="1">
      <alignment wrapText="1"/>
    </xf>
    <xf numFmtId="0" fontId="35" fillId="0" borderId="28" xfId="1" applyFont="1" applyBorder="1" applyAlignment="1">
      <alignment horizontal="center" wrapText="1"/>
    </xf>
    <xf numFmtId="0" fontId="35" fillId="0" borderId="75" xfId="1" applyFont="1" applyBorder="1" applyAlignment="1">
      <alignment wrapText="1"/>
    </xf>
    <xf numFmtId="0" fontId="35" fillId="0" borderId="74" xfId="1" applyFont="1" applyBorder="1" applyAlignment="1">
      <alignment wrapText="1"/>
    </xf>
    <xf numFmtId="0" fontId="35" fillId="3" borderId="74" xfId="1" applyFont="1" applyFill="1" applyBorder="1" applyAlignment="1">
      <alignment wrapText="1"/>
    </xf>
    <xf numFmtId="0" fontId="35" fillId="3" borderId="194" xfId="1" applyFont="1" applyFill="1" applyBorder="1" applyAlignment="1">
      <alignment wrapText="1"/>
    </xf>
    <xf numFmtId="170" fontId="35" fillId="0" borderId="193" xfId="1" applyNumberFormat="1" applyFont="1" applyBorder="1" applyAlignment="1">
      <alignment wrapText="1"/>
    </xf>
    <xf numFmtId="10" fontId="35" fillId="0" borderId="74" xfId="1" applyNumberFormat="1" applyFont="1" applyBorder="1" applyAlignment="1">
      <alignment wrapText="1"/>
    </xf>
    <xf numFmtId="10" fontId="35" fillId="0" borderId="73" xfId="1" applyNumberFormat="1" applyFont="1" applyBorder="1" applyAlignment="1">
      <alignment wrapText="1"/>
    </xf>
    <xf numFmtId="0" fontId="35" fillId="33" borderId="74" xfId="1" applyFont="1" applyFill="1" applyBorder="1" applyAlignment="1">
      <alignment wrapText="1"/>
    </xf>
    <xf numFmtId="0" fontId="35" fillId="33" borderId="194" xfId="1" applyFont="1" applyFill="1" applyBorder="1" applyAlignment="1">
      <alignment wrapText="1"/>
    </xf>
    <xf numFmtId="0" fontId="35" fillId="0" borderId="28" xfId="1" applyFont="1" applyBorder="1" applyAlignment="1">
      <alignment horizontal="right"/>
    </xf>
    <xf numFmtId="170" fontId="35" fillId="0" borderId="193" xfId="1" applyNumberFormat="1" applyFont="1" applyBorder="1"/>
    <xf numFmtId="0" fontId="29" fillId="33" borderId="0" xfId="1" applyFont="1" applyFill="1" applyAlignment="1"/>
    <xf numFmtId="0" fontId="35" fillId="3" borderId="28" xfId="1" applyFont="1" applyFill="1" applyBorder="1" applyAlignment="1">
      <alignment horizontal="right"/>
    </xf>
    <xf numFmtId="170" fontId="30" fillId="0" borderId="0" xfId="1" applyNumberFormat="1" applyFont="1"/>
    <xf numFmtId="0" fontId="35" fillId="0" borderId="75" xfId="1" applyFont="1" applyBorder="1"/>
    <xf numFmtId="0" fontId="35" fillId="0" borderId="74" xfId="1" applyFont="1" applyBorder="1"/>
    <xf numFmtId="0" fontId="35" fillId="0" borderId="194" xfId="1" applyFont="1" applyBorder="1"/>
    <xf numFmtId="0" fontId="26" fillId="0" borderId="74" xfId="1" applyFont="1" applyBorder="1"/>
    <xf numFmtId="9" fontId="26" fillId="0" borderId="74" xfId="1" applyNumberFormat="1" applyFont="1" applyBorder="1" applyAlignment="1"/>
    <xf numFmtId="9" fontId="26" fillId="0" borderId="73" xfId="1" applyNumberFormat="1" applyFont="1" applyBorder="1" applyAlignment="1"/>
    <xf numFmtId="0" fontId="30" fillId="0" borderId="75" xfId="1" applyFont="1" applyBorder="1"/>
    <xf numFmtId="0" fontId="30" fillId="3" borderId="74" xfId="1" applyFont="1" applyFill="1" applyBorder="1"/>
    <xf numFmtId="0" fontId="30" fillId="32" borderId="74" xfId="1" applyFont="1" applyFill="1" applyBorder="1"/>
    <xf numFmtId="0" fontId="30" fillId="32" borderId="194" xfId="1" applyFont="1" applyFill="1" applyBorder="1"/>
    <xf numFmtId="170" fontId="30" fillId="0" borderId="193" xfId="1" applyNumberFormat="1" applyFont="1" applyBorder="1" applyAlignment="1"/>
    <xf numFmtId="0" fontId="30" fillId="0" borderId="73" xfId="1" applyFont="1" applyBorder="1"/>
    <xf numFmtId="0" fontId="30" fillId="32" borderId="74" xfId="1" applyFont="1" applyFill="1" applyBorder="1" applyAlignment="1"/>
    <xf numFmtId="170" fontId="30" fillId="31" borderId="74" xfId="1" applyNumberFormat="1" applyFont="1" applyFill="1" applyBorder="1" applyAlignment="1"/>
    <xf numFmtId="0" fontId="30" fillId="31" borderId="194" xfId="1" applyFont="1" applyFill="1" applyBorder="1"/>
    <xf numFmtId="0" fontId="26" fillId="3" borderId="74" xfId="1" applyFont="1" applyFill="1" applyBorder="1"/>
    <xf numFmtId="10" fontId="26" fillId="3" borderId="74" xfId="1" applyNumberFormat="1" applyFont="1" applyFill="1" applyBorder="1" applyAlignment="1"/>
    <xf numFmtId="10" fontId="26" fillId="3" borderId="73" xfId="1" applyNumberFormat="1" applyFont="1" applyFill="1" applyBorder="1"/>
    <xf numFmtId="0" fontId="26" fillId="0" borderId="25" xfId="1" applyFont="1" applyBorder="1" applyAlignment="1"/>
    <xf numFmtId="0" fontId="30" fillId="0" borderId="71" xfId="1" applyFont="1" applyBorder="1"/>
    <xf numFmtId="0" fontId="30" fillId="0" borderId="70" xfId="1" applyFont="1" applyBorder="1"/>
    <xf numFmtId="0" fontId="30" fillId="0" borderId="192" xfId="1" applyFont="1" applyBorder="1"/>
    <xf numFmtId="0" fontId="26" fillId="0" borderId="70" xfId="1" applyFont="1" applyBorder="1"/>
    <xf numFmtId="9" fontId="26" fillId="0" borderId="70" xfId="1" applyNumberFormat="1" applyFont="1" applyBorder="1" applyAlignment="1"/>
    <xf numFmtId="9" fontId="26" fillId="0" borderId="72" xfId="1" applyNumberFormat="1" applyFont="1" applyBorder="1" applyAlignment="1"/>
    <xf numFmtId="0" fontId="26" fillId="0" borderId="36" xfId="1" applyFont="1" applyBorder="1" applyAlignment="1">
      <alignment horizontal="center"/>
    </xf>
    <xf numFmtId="0" fontId="30" fillId="0" borderId="200" xfId="1" applyFont="1" applyBorder="1"/>
    <xf numFmtId="0" fontId="30" fillId="0" borderId="197" xfId="1" applyFont="1" applyBorder="1"/>
    <xf numFmtId="0" fontId="30" fillId="0" borderId="199" xfId="1" applyFont="1" applyBorder="1"/>
    <xf numFmtId="0" fontId="26" fillId="0" borderId="197" xfId="1" applyFont="1" applyBorder="1"/>
    <xf numFmtId="10" fontId="26" fillId="0" borderId="197" xfId="1" applyNumberFormat="1" applyFont="1" applyBorder="1"/>
    <xf numFmtId="10" fontId="26" fillId="0" borderId="196" xfId="1" applyNumberFormat="1" applyFont="1" applyBorder="1"/>
    <xf numFmtId="0" fontId="30" fillId="30" borderId="30" xfId="1" applyFont="1" applyFill="1" applyBorder="1"/>
    <xf numFmtId="0" fontId="30" fillId="30" borderId="75" xfId="1" applyFont="1" applyFill="1" applyBorder="1"/>
    <xf numFmtId="0" fontId="30" fillId="30" borderId="74" xfId="1" applyFont="1" applyFill="1" applyBorder="1"/>
    <xf numFmtId="0" fontId="30" fillId="30" borderId="194" xfId="1" applyFont="1" applyFill="1" applyBorder="1"/>
    <xf numFmtId="170" fontId="30" fillId="30" borderId="193" xfId="1" applyNumberFormat="1" applyFont="1" applyFill="1" applyBorder="1"/>
    <xf numFmtId="0" fontId="30" fillId="30" borderId="73" xfId="1" applyFont="1" applyFill="1" applyBorder="1"/>
    <xf numFmtId="170" fontId="26" fillId="0" borderId="193" xfId="1" applyNumberFormat="1" applyFont="1" applyBorder="1"/>
    <xf numFmtId="0" fontId="26" fillId="0" borderId="30" xfId="1" applyFont="1" applyBorder="1" applyAlignment="1"/>
    <xf numFmtId="0" fontId="30" fillId="0" borderId="74" xfId="1" applyFont="1" applyBorder="1" applyAlignment="1"/>
    <xf numFmtId="0" fontId="30" fillId="14" borderId="75" xfId="1" applyFont="1" applyFill="1" applyBorder="1"/>
    <xf numFmtId="0" fontId="30" fillId="14" borderId="74" xfId="1" applyFont="1" applyFill="1" applyBorder="1"/>
    <xf numFmtId="0" fontId="35" fillId="0" borderId="25" xfId="1" applyFont="1" applyBorder="1" applyAlignment="1">
      <alignment horizontal="right"/>
    </xf>
    <xf numFmtId="0" fontId="30" fillId="29" borderId="70" xfId="1" applyFont="1" applyFill="1" applyBorder="1"/>
    <xf numFmtId="0" fontId="30" fillId="3" borderId="70" xfId="1" applyFont="1" applyFill="1" applyBorder="1"/>
    <xf numFmtId="170" fontId="30" fillId="0" borderId="191" xfId="1" applyNumberFormat="1" applyFont="1" applyBorder="1" applyAlignment="1"/>
    <xf numFmtId="0" fontId="30" fillId="0" borderId="72" xfId="1" applyFont="1" applyBorder="1"/>
    <xf numFmtId="0" fontId="26" fillId="0" borderId="21" xfId="1" applyFont="1" applyBorder="1" applyAlignment="1">
      <alignment horizontal="center"/>
    </xf>
    <xf numFmtId="0" fontId="30" fillId="0" borderId="111" xfId="1" applyFont="1" applyBorder="1"/>
    <xf numFmtId="0" fontId="30" fillId="0" borderId="110" xfId="1" applyFont="1" applyBorder="1"/>
    <xf numFmtId="0" fontId="30" fillId="0" borderId="190" xfId="1" applyFont="1" applyBorder="1"/>
    <xf numFmtId="0" fontId="30" fillId="0" borderId="109" xfId="1" applyFont="1" applyBorder="1"/>
    <xf numFmtId="0" fontId="26" fillId="0" borderId="87" xfId="1" applyFont="1" applyBorder="1" applyAlignment="1">
      <alignment horizontal="center"/>
    </xf>
    <xf numFmtId="0" fontId="30" fillId="0" borderId="188" xfId="1" applyFont="1" applyBorder="1"/>
    <xf numFmtId="0" fontId="30" fillId="0" borderId="185" xfId="1" applyFont="1" applyBorder="1"/>
    <xf numFmtId="0" fontId="30" fillId="0" borderId="187" xfId="1" applyFont="1" applyBorder="1"/>
    <xf numFmtId="0" fontId="30" fillId="0" borderId="184" xfId="1" applyFont="1" applyBorder="1"/>
    <xf numFmtId="0" fontId="30" fillId="47" borderId="0" xfId="1" applyFont="1" applyFill="1"/>
    <xf numFmtId="0" fontId="26" fillId="34" borderId="204" xfId="1" applyFont="1" applyFill="1" applyBorder="1" applyAlignment="1">
      <alignment horizontal="center" vertical="center" wrapText="1"/>
    </xf>
    <xf numFmtId="0" fontId="26" fillId="34" borderId="86" xfId="1" applyFont="1" applyFill="1" applyBorder="1" applyAlignment="1">
      <alignment horizontal="center" vertical="center" wrapText="1"/>
    </xf>
    <xf numFmtId="0" fontId="26" fillId="34" borderId="222" xfId="1" applyFont="1" applyFill="1" applyBorder="1" applyAlignment="1">
      <alignment horizontal="center" vertical="center" wrapText="1"/>
    </xf>
    <xf numFmtId="0" fontId="26" fillId="34" borderId="221" xfId="1" applyFont="1" applyFill="1" applyBorder="1" applyAlignment="1">
      <alignment horizontal="center" vertical="center" wrapText="1"/>
    </xf>
    <xf numFmtId="0" fontId="26" fillId="34" borderId="96" xfId="1" applyFont="1" applyFill="1" applyBorder="1" applyAlignment="1">
      <alignment horizontal="center" vertical="center" wrapText="1"/>
    </xf>
    <xf numFmtId="0" fontId="26" fillId="34" borderId="56" xfId="1" applyFont="1" applyFill="1" applyBorder="1" applyAlignment="1">
      <alignment horizontal="center" vertical="center" wrapText="1"/>
    </xf>
    <xf numFmtId="0" fontId="30" fillId="0" borderId="220" xfId="1" applyFont="1" applyBorder="1" applyAlignment="1"/>
    <xf numFmtId="0" fontId="30" fillId="0" borderId="217" xfId="1" applyFont="1" applyBorder="1" applyAlignment="1"/>
    <xf numFmtId="0" fontId="30" fillId="0" borderId="219" xfId="1" applyFont="1" applyBorder="1" applyAlignment="1"/>
    <xf numFmtId="170" fontId="30" fillId="0" borderId="218" xfId="1" applyNumberFormat="1" applyFont="1" applyBorder="1" applyAlignment="1"/>
    <xf numFmtId="0" fontId="30" fillId="0" borderId="216" xfId="1" applyFont="1" applyBorder="1" applyAlignment="1"/>
    <xf numFmtId="0" fontId="26" fillId="0" borderId="215" xfId="1" applyFont="1" applyBorder="1" applyAlignment="1"/>
    <xf numFmtId="0" fontId="30" fillId="0" borderId="209" xfId="1" applyFont="1" applyBorder="1" applyAlignment="1"/>
    <xf numFmtId="0" fontId="30" fillId="0" borderId="44" xfId="1" applyFont="1" applyBorder="1" applyAlignment="1"/>
    <xf numFmtId="0" fontId="30" fillId="0" borderId="208" xfId="1" applyFont="1" applyBorder="1" applyAlignment="1"/>
    <xf numFmtId="0" fontId="35" fillId="0" borderId="214" xfId="1" applyFont="1" applyBorder="1" applyAlignment="1">
      <alignment horizontal="right"/>
    </xf>
    <xf numFmtId="0" fontId="30" fillId="5" borderId="44" xfId="1" applyFont="1" applyFill="1" applyBorder="1" applyAlignment="1"/>
    <xf numFmtId="0" fontId="30" fillId="5" borderId="208" xfId="1" applyFont="1" applyFill="1" applyBorder="1" applyAlignment="1"/>
    <xf numFmtId="170" fontId="30" fillId="0" borderId="207" xfId="1" applyNumberFormat="1" applyFont="1" applyBorder="1" applyAlignment="1"/>
    <xf numFmtId="0" fontId="35" fillId="0" borderId="210" xfId="1" applyFont="1" applyBorder="1" applyAlignment="1">
      <alignment horizontal="right"/>
    </xf>
    <xf numFmtId="0" fontId="26" fillId="0" borderId="210" xfId="1" applyFont="1" applyBorder="1" applyAlignment="1">
      <alignment wrapText="1"/>
    </xf>
    <xf numFmtId="0" fontId="35" fillId="0" borderId="210" xfId="1" applyFont="1" applyBorder="1" applyAlignment="1">
      <alignment horizontal="right" wrapText="1"/>
    </xf>
    <xf numFmtId="0" fontId="30" fillId="0" borderId="44" xfId="1" applyFont="1" applyBorder="1"/>
    <xf numFmtId="0" fontId="30" fillId="41" borderId="44" xfId="1" applyFont="1" applyFill="1" applyBorder="1"/>
    <xf numFmtId="170" fontId="30" fillId="0" borderId="207" xfId="1" applyNumberFormat="1" applyFont="1" applyBorder="1"/>
    <xf numFmtId="0" fontId="30" fillId="41" borderId="209" xfId="1" applyFont="1" applyFill="1" applyBorder="1" applyAlignment="1"/>
    <xf numFmtId="0" fontId="26" fillId="0" borderId="210" xfId="1" applyFont="1" applyBorder="1" applyAlignment="1"/>
    <xf numFmtId="0" fontId="30" fillId="40" borderId="209" xfId="1" applyFont="1" applyFill="1" applyBorder="1" applyAlignment="1"/>
    <xf numFmtId="0" fontId="30" fillId="40" borderId="44" xfId="1" applyFont="1" applyFill="1" applyBorder="1" applyAlignment="1"/>
    <xf numFmtId="0" fontId="30" fillId="40" borderId="208" xfId="1" applyFont="1" applyFill="1" applyBorder="1" applyAlignment="1"/>
    <xf numFmtId="0" fontId="30" fillId="0" borderId="209" xfId="1" applyFont="1" applyBorder="1"/>
    <xf numFmtId="0" fontId="30" fillId="0" borderId="208" xfId="1" applyFont="1" applyBorder="1"/>
    <xf numFmtId="170" fontId="30" fillId="0" borderId="44" xfId="1" applyNumberFormat="1" applyFont="1" applyBorder="1" applyAlignment="1">
      <alignment horizontal="right" wrapText="1"/>
    </xf>
    <xf numFmtId="10" fontId="30" fillId="0" borderId="44" xfId="1" applyNumberFormat="1" applyFont="1" applyBorder="1" applyAlignment="1">
      <alignment horizontal="right" wrapText="1"/>
    </xf>
    <xf numFmtId="10" fontId="30" fillId="0" borderId="206" xfId="1" applyNumberFormat="1" applyFont="1" applyBorder="1" applyAlignment="1">
      <alignment horizontal="right" wrapText="1"/>
    </xf>
    <xf numFmtId="0" fontId="35" fillId="3" borderId="210" xfId="1" applyFont="1" applyFill="1" applyBorder="1" applyAlignment="1">
      <alignment horizontal="right"/>
    </xf>
    <xf numFmtId="9" fontId="30" fillId="0" borderId="44" xfId="1" applyNumberFormat="1" applyFont="1" applyBorder="1" applyAlignment="1"/>
    <xf numFmtId="9" fontId="30" fillId="0" borderId="206" xfId="1" applyNumberFormat="1" applyFont="1" applyBorder="1" applyAlignment="1"/>
    <xf numFmtId="0" fontId="30" fillId="39" borderId="44" xfId="1" applyFont="1" applyFill="1" applyBorder="1"/>
    <xf numFmtId="0" fontId="30" fillId="39" borderId="208" xfId="1" applyFont="1" applyFill="1" applyBorder="1"/>
    <xf numFmtId="0" fontId="30" fillId="0" borderId="206" xfId="1" applyFont="1" applyBorder="1" applyAlignment="1"/>
    <xf numFmtId="0" fontId="30" fillId="38" borderId="44" xfId="1" applyFont="1" applyFill="1" applyBorder="1"/>
    <xf numFmtId="0" fontId="30" fillId="38" borderId="208" xfId="1" applyFont="1" applyFill="1" applyBorder="1"/>
    <xf numFmtId="10" fontId="26" fillId="0" borderId="44" xfId="1" applyNumberFormat="1" applyFont="1" applyBorder="1" applyAlignment="1"/>
    <xf numFmtId="10" fontId="26" fillId="0" borderId="206" xfId="1" applyNumberFormat="1" applyFont="1" applyBorder="1" applyAlignment="1"/>
    <xf numFmtId="9" fontId="26" fillId="0" borderId="44" xfId="1" applyNumberFormat="1" applyFont="1" applyBorder="1" applyAlignment="1"/>
    <xf numFmtId="9" fontId="26" fillId="0" borderId="206" xfId="1" applyNumberFormat="1" applyFont="1" applyBorder="1" applyAlignment="1"/>
    <xf numFmtId="0" fontId="30" fillId="30" borderId="213" xfId="1" applyFont="1" applyFill="1" applyBorder="1" applyAlignment="1"/>
    <xf numFmtId="0" fontId="30" fillId="30" borderId="209" xfId="1" applyFont="1" applyFill="1" applyBorder="1" applyAlignment="1"/>
    <xf numFmtId="0" fontId="30" fillId="30" borderId="44" xfId="1" applyFont="1" applyFill="1" applyBorder="1" applyAlignment="1"/>
    <xf numFmtId="0" fontId="30" fillId="30" borderId="208" xfId="1" applyFont="1" applyFill="1" applyBorder="1" applyAlignment="1"/>
    <xf numFmtId="170" fontId="30" fillId="30" borderId="207" xfId="1" applyNumberFormat="1" applyFont="1" applyFill="1" applyBorder="1" applyAlignment="1"/>
    <xf numFmtId="0" fontId="30" fillId="30" borderId="206" xfId="1" applyFont="1" applyFill="1" applyBorder="1" applyAlignment="1"/>
    <xf numFmtId="0" fontId="26" fillId="0" borderId="211" xfId="1" applyFont="1" applyBorder="1" applyAlignment="1"/>
    <xf numFmtId="0" fontId="30" fillId="37" borderId="209" xfId="1" applyFont="1" applyFill="1" applyBorder="1"/>
    <xf numFmtId="0" fontId="30" fillId="37" borderId="44" xfId="1" applyFont="1" applyFill="1" applyBorder="1"/>
    <xf numFmtId="0" fontId="26" fillId="0" borderId="44" xfId="1" applyFont="1" applyBorder="1" applyAlignment="1"/>
    <xf numFmtId="0" fontId="30" fillId="47" borderId="0" xfId="1" applyFont="1" applyFill="1" applyAlignment="1"/>
    <xf numFmtId="0" fontId="35" fillId="0" borderId="28" xfId="1" applyFont="1" applyBorder="1" applyAlignment="1">
      <alignment wrapText="1"/>
    </xf>
    <xf numFmtId="0" fontId="26" fillId="0" borderId="28" xfId="1" applyFont="1" applyBorder="1" applyAlignment="1">
      <alignment horizontal="left" wrapText="1"/>
    </xf>
    <xf numFmtId="0" fontId="26" fillId="13" borderId="296" xfId="1" applyFont="1" applyFill="1" applyBorder="1" applyAlignment="1"/>
    <xf numFmtId="0" fontId="26" fillId="13" borderId="18" xfId="1" applyFont="1" applyFill="1" applyBorder="1" applyAlignment="1"/>
    <xf numFmtId="9" fontId="26" fillId="0" borderId="44" xfId="1" applyNumberFormat="1" applyFont="1" applyBorder="1" applyAlignment="1">
      <alignment horizontal="right"/>
    </xf>
    <xf numFmtId="9" fontId="26" fillId="0" borderId="206" xfId="1" applyNumberFormat="1" applyFont="1" applyBorder="1" applyAlignment="1">
      <alignment horizontal="right"/>
    </xf>
    <xf numFmtId="10" fontId="35" fillId="0" borderId="74" xfId="1" applyNumberFormat="1" applyFont="1" applyBorder="1"/>
    <xf numFmtId="10" fontId="35" fillId="0" borderId="73" xfId="1" applyNumberFormat="1" applyFont="1" applyBorder="1"/>
    <xf numFmtId="170" fontId="35" fillId="0" borderId="207" xfId="1" applyNumberFormat="1" applyFont="1" applyBorder="1" applyAlignment="1"/>
    <xf numFmtId="171" fontId="35" fillId="0" borderId="44" xfId="1" applyNumberFormat="1" applyFont="1" applyBorder="1" applyAlignment="1"/>
    <xf numFmtId="10" fontId="35" fillId="0" borderId="44" xfId="1" applyNumberFormat="1" applyFont="1" applyBorder="1" applyAlignment="1"/>
    <xf numFmtId="10" fontId="35" fillId="0" borderId="206" xfId="1" applyNumberFormat="1" applyFont="1" applyBorder="1" applyAlignment="1"/>
    <xf numFmtId="170" fontId="35" fillId="0" borderId="44" xfId="1" applyNumberFormat="1" applyFont="1" applyBorder="1" applyAlignment="1"/>
    <xf numFmtId="170" fontId="35" fillId="0" borderId="207" xfId="1" applyNumberFormat="1" applyFont="1" applyBorder="1"/>
    <xf numFmtId="0" fontId="35" fillId="0" borderId="44" xfId="1" applyFont="1" applyBorder="1" applyAlignment="1"/>
    <xf numFmtId="10" fontId="25" fillId="20" borderId="242" xfId="1" applyNumberFormat="1" applyFont="1" applyFill="1" applyBorder="1"/>
    <xf numFmtId="10" fontId="25" fillId="20" borderId="15" xfId="1" applyNumberFormat="1" applyFont="1" applyFill="1" applyBorder="1"/>
    <xf numFmtId="10" fontId="30" fillId="20" borderId="162" xfId="1" applyNumberFormat="1" applyFont="1" applyFill="1" applyBorder="1" applyAlignment="1"/>
    <xf numFmtId="10" fontId="30" fillId="20" borderId="160" xfId="1" applyNumberFormat="1" applyFont="1" applyFill="1" applyBorder="1" applyAlignment="1"/>
    <xf numFmtId="172" fontId="24" fillId="0" borderId="0" xfId="1" applyNumberFormat="1" applyFont="1"/>
    <xf numFmtId="172" fontId="25" fillId="20" borderId="13" xfId="1" applyNumberFormat="1" applyFont="1" applyFill="1" applyBorder="1" applyAlignment="1">
      <alignment horizontal="center"/>
    </xf>
    <xf numFmtId="172" fontId="25" fillId="20" borderId="14" xfId="1" applyNumberFormat="1" applyFont="1" applyFill="1" applyBorder="1" applyAlignment="1">
      <alignment horizontal="center"/>
    </xf>
    <xf numFmtId="172" fontId="30" fillId="0" borderId="0" xfId="1" applyNumberFormat="1" applyFont="1" applyAlignment="1"/>
    <xf numFmtId="10" fontId="24" fillId="20" borderId="13" xfId="1" applyNumberFormat="1" applyFont="1" applyFill="1" applyBorder="1" applyAlignment="1">
      <alignment horizontal="right"/>
    </xf>
    <xf numFmtId="172" fontId="24" fillId="0" borderId="13" xfId="1" applyNumberFormat="1" applyFont="1" applyBorder="1"/>
    <xf numFmtId="172" fontId="24" fillId="0" borderId="14" xfId="1" applyNumberFormat="1" applyFont="1" applyBorder="1"/>
    <xf numFmtId="9" fontId="24" fillId="0" borderId="13" xfId="1" applyNumberFormat="1" applyFont="1" applyBorder="1"/>
    <xf numFmtId="9" fontId="24" fillId="0" borderId="14" xfId="1" applyNumberFormat="1" applyFont="1" applyBorder="1"/>
    <xf numFmtId="0" fontId="24" fillId="0" borderId="0" xfId="1" applyFont="1" applyAlignment="1">
      <alignment horizontal="right"/>
    </xf>
    <xf numFmtId="0" fontId="30" fillId="0" borderId="0" xfId="1" applyFont="1" applyAlignment="1">
      <alignment horizontal="right"/>
    </xf>
    <xf numFmtId="0" fontId="25" fillId="0" borderId="0" xfId="1" applyFont="1"/>
    <xf numFmtId="0" fontId="26" fillId="0" borderId="0" xfId="1" applyFont="1" applyAlignment="1"/>
    <xf numFmtId="10" fontId="25" fillId="20" borderId="162" xfId="1" applyNumberFormat="1" applyFont="1" applyFill="1" applyBorder="1"/>
    <xf numFmtId="10" fontId="25" fillId="20" borderId="160" xfId="1" applyNumberFormat="1" applyFont="1" applyFill="1" applyBorder="1"/>
    <xf numFmtId="0" fontId="31" fillId="17" borderId="241" xfId="0" applyFont="1" applyFill="1" applyBorder="1" applyAlignment="1">
      <alignment horizontal="center"/>
    </xf>
    <xf numFmtId="0" fontId="25" fillId="17" borderId="241" xfId="1" applyFont="1" applyFill="1" applyBorder="1" applyAlignment="1">
      <alignment horizontal="center"/>
    </xf>
    <xf numFmtId="0" fontId="31" fillId="17" borderId="238" xfId="0" applyFont="1" applyFill="1" applyBorder="1" applyAlignment="1">
      <alignment horizontal="center"/>
    </xf>
    <xf numFmtId="0" fontId="33" fillId="21" borderId="238" xfId="0" applyFont="1" applyFill="1" applyBorder="1" applyAlignment="1">
      <alignment horizontal="right"/>
    </xf>
    <xf numFmtId="0" fontId="33" fillId="21" borderId="272" xfId="0" applyFont="1" applyFill="1" applyBorder="1" applyAlignment="1">
      <alignment horizontal="right"/>
    </xf>
    <xf numFmtId="172" fontId="25" fillId="17" borderId="238" xfId="1" applyNumberFormat="1" applyFont="1" applyFill="1" applyBorder="1" applyAlignment="1">
      <alignment horizontal="center" vertical="center"/>
    </xf>
    <xf numFmtId="0" fontId="28" fillId="17" borderId="238" xfId="1" applyFont="1" applyFill="1" applyBorder="1" applyAlignment="1">
      <alignment horizontal="right" vertical="center"/>
    </xf>
    <xf numFmtId="0" fontId="25" fillId="17" borderId="238" xfId="1" applyFont="1" applyFill="1" applyBorder="1" applyAlignment="1">
      <alignment horizontal="center"/>
    </xf>
    <xf numFmtId="0" fontId="29" fillId="21" borderId="238" xfId="1" applyFont="1" applyFill="1" applyBorder="1" applyAlignment="1">
      <alignment horizontal="right"/>
    </xf>
    <xf numFmtId="0" fontId="29" fillId="21" borderId="272" xfId="1" applyFont="1" applyFill="1" applyBorder="1" applyAlignment="1">
      <alignment horizontal="right"/>
    </xf>
    <xf numFmtId="0" fontId="30" fillId="2" borderId="0" xfId="1" applyFont="1" applyFill="1" applyAlignment="1"/>
    <xf numFmtId="0" fontId="23" fillId="2" borderId="0" xfId="1" applyFont="1" applyFill="1" applyAlignment="1">
      <alignment horizontal="center"/>
    </xf>
    <xf numFmtId="0" fontId="36" fillId="2" borderId="0" xfId="0" applyFont="1" applyFill="1" applyAlignment="1">
      <alignment horizontal="center"/>
    </xf>
    <xf numFmtId="0" fontId="30" fillId="47" borderId="0" xfId="1" applyFont="1" applyFill="1" applyAlignment="1">
      <alignment wrapText="1"/>
    </xf>
    <xf numFmtId="0" fontId="35" fillId="47" borderId="0" xfId="1" applyFont="1" applyFill="1" applyAlignment="1">
      <alignment wrapText="1"/>
    </xf>
    <xf numFmtId="0" fontId="26" fillId="34" borderId="45" xfId="1" applyFont="1" applyFill="1" applyBorder="1" applyAlignment="1">
      <alignment horizontal="center" vertical="center" wrapText="1"/>
    </xf>
    <xf numFmtId="10" fontId="25" fillId="20" borderId="118" xfId="1" applyNumberFormat="1" applyFont="1" applyFill="1" applyBorder="1" applyAlignment="1"/>
    <xf numFmtId="181" fontId="8" fillId="0" borderId="0" xfId="0" applyNumberFormat="1" applyFont="1"/>
    <xf numFmtId="181" fontId="8" fillId="0" borderId="13" xfId="0" applyNumberFormat="1" applyFont="1" applyBorder="1"/>
    <xf numFmtId="181" fontId="8" fillId="0" borderId="165" xfId="0" applyNumberFormat="1" applyFont="1" applyFill="1" applyBorder="1"/>
    <xf numFmtId="181" fontId="8" fillId="0" borderId="166" xfId="0" applyNumberFormat="1" applyFont="1" applyFill="1" applyBorder="1"/>
    <xf numFmtId="181" fontId="8" fillId="24" borderId="113" xfId="0" applyNumberFormat="1" applyFont="1" applyFill="1" applyBorder="1"/>
    <xf numFmtId="181" fontId="8" fillId="24" borderId="16" xfId="0" applyNumberFormat="1" applyFont="1" applyFill="1" applyBorder="1"/>
    <xf numFmtId="10" fontId="24" fillId="18" borderId="299" xfId="1" applyNumberFormat="1" applyFont="1" applyFill="1" applyBorder="1" applyAlignment="1">
      <alignment horizontal="right"/>
    </xf>
    <xf numFmtId="10" fontId="25" fillId="25" borderId="299" xfId="1" applyNumberFormat="1" applyFont="1" applyFill="1" applyBorder="1" applyAlignment="1"/>
    <xf numFmtId="10" fontId="25" fillId="25" borderId="300" xfId="1" applyNumberFormat="1" applyFont="1" applyFill="1" applyBorder="1" applyAlignment="1"/>
    <xf numFmtId="10" fontId="25" fillId="18" borderId="298" xfId="1" applyNumberFormat="1" applyFont="1" applyFill="1" applyBorder="1" applyAlignment="1"/>
    <xf numFmtId="10" fontId="25" fillId="8" borderId="301" xfId="1" applyNumberFormat="1" applyFont="1" applyFill="1" applyBorder="1" applyAlignment="1">
      <alignment horizontal="center"/>
    </xf>
    <xf numFmtId="172" fontId="25" fillId="18" borderId="299" xfId="1" applyNumberFormat="1" applyFont="1" applyFill="1" applyBorder="1" applyAlignment="1">
      <alignment horizontal="center"/>
    </xf>
    <xf numFmtId="10" fontId="25" fillId="8" borderId="302" xfId="1" applyNumberFormat="1" applyFont="1" applyFill="1" applyBorder="1" applyAlignment="1">
      <alignment horizontal="center"/>
    </xf>
    <xf numFmtId="172" fontId="25" fillId="18" borderId="303" xfId="1" applyNumberFormat="1" applyFont="1" applyFill="1" applyBorder="1" applyAlignment="1">
      <alignment horizontal="center"/>
    </xf>
    <xf numFmtId="10" fontId="24" fillId="18" borderId="303" xfId="1" applyNumberFormat="1" applyFont="1" applyFill="1" applyBorder="1" applyAlignment="1">
      <alignment horizontal="right"/>
    </xf>
    <xf numFmtId="10" fontId="25" fillId="18" borderId="305" xfId="1" applyNumberFormat="1" applyFont="1" applyFill="1" applyBorder="1"/>
    <xf numFmtId="10" fontId="25" fillId="18" borderId="298" xfId="1" applyNumberFormat="1" applyFont="1" applyFill="1" applyBorder="1"/>
    <xf numFmtId="9" fontId="24" fillId="0" borderId="299" xfId="1" applyNumberFormat="1" applyFont="1" applyBorder="1"/>
    <xf numFmtId="172" fontId="24" fillId="0" borderId="299" xfId="1" applyNumberFormat="1" applyFont="1" applyBorder="1"/>
    <xf numFmtId="10" fontId="25" fillId="18" borderId="306" xfId="1" applyNumberFormat="1" applyFont="1" applyFill="1" applyBorder="1"/>
    <xf numFmtId="3" fontId="27" fillId="18" borderId="307" xfId="0" applyNumberFormat="1" applyFont="1" applyFill="1" applyBorder="1"/>
    <xf numFmtId="3" fontId="27" fillId="18" borderId="308" xfId="0" applyNumberFormat="1" applyFont="1" applyFill="1" applyBorder="1"/>
    <xf numFmtId="0" fontId="31" fillId="8" borderId="302" xfId="0" applyFont="1" applyFill="1" applyBorder="1" applyAlignment="1">
      <alignment horizontal="center"/>
    </xf>
    <xf numFmtId="3" fontId="27" fillId="18" borderId="303" xfId="0" applyNumberFormat="1" applyFont="1" applyFill="1" applyBorder="1"/>
    <xf numFmtId="0" fontId="26" fillId="8" borderId="307" xfId="1" applyFont="1" applyFill="1" applyBorder="1" applyAlignment="1">
      <alignment horizontal="center"/>
    </xf>
    <xf numFmtId="3" fontId="25" fillId="18" borderId="306" xfId="1" applyNumberFormat="1" applyFont="1" applyFill="1" applyBorder="1" applyAlignment="1">
      <alignment horizontal="center"/>
    </xf>
    <xf numFmtId="10" fontId="30" fillId="18" borderId="306" xfId="1" applyNumberFormat="1" applyFont="1" applyFill="1" applyBorder="1" applyAlignment="1"/>
    <xf numFmtId="10" fontId="30" fillId="0" borderId="299" xfId="1" applyNumberFormat="1" applyFont="1" applyBorder="1" applyAlignment="1"/>
    <xf numFmtId="10" fontId="30" fillId="0" borderId="300" xfId="1" applyNumberFormat="1" applyFont="1" applyBorder="1" applyAlignment="1"/>
    <xf numFmtId="10" fontId="31" fillId="18" borderId="298" xfId="0" applyNumberFormat="1" applyFont="1" applyFill="1" applyBorder="1"/>
    <xf numFmtId="10" fontId="15" fillId="0" borderId="74" xfId="1" applyNumberFormat="1" applyFont="1" applyBorder="1"/>
    <xf numFmtId="10" fontId="15" fillId="0" borderId="73" xfId="1" applyNumberFormat="1" applyFont="1" applyBorder="1"/>
    <xf numFmtId="10" fontId="15" fillId="0" borderId="309" xfId="1" applyNumberFormat="1" applyFont="1" applyBorder="1"/>
    <xf numFmtId="10" fontId="26" fillId="0" borderId="310" xfId="1" applyNumberFormat="1" applyFont="1" applyBorder="1" applyAlignment="1"/>
    <xf numFmtId="10" fontId="16" fillId="0" borderId="44" xfId="1" applyNumberFormat="1" applyFont="1" applyBorder="1" applyAlignment="1">
      <alignment horizontal="right" wrapText="1"/>
    </xf>
    <xf numFmtId="10" fontId="16" fillId="0" borderId="206" xfId="1" applyNumberFormat="1" applyFont="1" applyBorder="1" applyAlignment="1">
      <alignment horizontal="right" wrapText="1"/>
    </xf>
    <xf numFmtId="10" fontId="35" fillId="0" borderId="310" xfId="1" applyNumberFormat="1" applyFont="1" applyBorder="1" applyAlignment="1"/>
    <xf numFmtId="0" fontId="26" fillId="0" borderId="215" xfId="1" applyFont="1" applyBorder="1" applyAlignment="1">
      <alignment horizontal="center"/>
    </xf>
    <xf numFmtId="170" fontId="22" fillId="0" borderId="218" xfId="1" applyNumberFormat="1" applyFont="1" applyBorder="1" applyAlignment="1"/>
    <xf numFmtId="10" fontId="26" fillId="0" borderId="217" xfId="1" applyNumberFormat="1" applyFont="1" applyBorder="1" applyAlignment="1"/>
    <xf numFmtId="10" fontId="26" fillId="0" borderId="311" xfId="1" applyNumberFormat="1" applyFont="1" applyBorder="1" applyAlignment="1"/>
    <xf numFmtId="0" fontId="30" fillId="0" borderId="314" xfId="1" applyFont="1" applyBorder="1" applyAlignment="1"/>
    <xf numFmtId="0" fontId="30" fillId="0" borderId="315" xfId="1" applyFont="1" applyBorder="1" applyAlignment="1"/>
    <xf numFmtId="0" fontId="35" fillId="0" borderId="312" xfId="1" applyFont="1" applyBorder="1" applyAlignment="1">
      <alignment horizontal="right"/>
    </xf>
    <xf numFmtId="0" fontId="30" fillId="0" borderId="313" xfId="1" applyFont="1" applyBorder="1"/>
    <xf numFmtId="0" fontId="30" fillId="36" borderId="314" xfId="1" applyFont="1" applyFill="1" applyBorder="1"/>
    <xf numFmtId="0" fontId="30" fillId="3" borderId="314" xfId="1" applyFont="1" applyFill="1" applyBorder="1"/>
    <xf numFmtId="170" fontId="30" fillId="0" borderId="317" xfId="1" applyNumberFormat="1" applyFont="1" applyBorder="1" applyAlignment="1"/>
    <xf numFmtId="0" fontId="30" fillId="0" borderId="316" xfId="1" applyFont="1" applyBorder="1" applyAlignment="1"/>
    <xf numFmtId="0" fontId="26" fillId="0" borderId="53" xfId="1" applyFont="1" applyBorder="1" applyAlignment="1">
      <alignment horizontal="center"/>
    </xf>
    <xf numFmtId="0" fontId="26" fillId="0" borderId="318" xfId="1" applyFont="1" applyBorder="1" applyAlignment="1"/>
    <xf numFmtId="0" fontId="26" fillId="0" borderId="319" xfId="1" applyFont="1" applyBorder="1" applyAlignment="1"/>
    <xf numFmtId="0" fontId="26" fillId="0" borderId="320" xfId="1" applyFont="1" applyBorder="1" applyAlignment="1"/>
    <xf numFmtId="170" fontId="26" fillId="0" borderId="321" xfId="1" applyNumberFormat="1" applyFont="1" applyBorder="1" applyAlignment="1"/>
    <xf numFmtId="0" fontId="26" fillId="0" borderId="322" xfId="1" applyFont="1" applyBorder="1" applyAlignment="1"/>
    <xf numFmtId="0" fontId="26" fillId="0" borderId="323" xfId="1" applyFont="1" applyBorder="1" applyAlignment="1">
      <alignment horizontal="center"/>
    </xf>
    <xf numFmtId="0" fontId="26" fillId="0" borderId="324" xfId="1" applyFont="1" applyBorder="1" applyAlignment="1"/>
    <xf numFmtId="0" fontId="26" fillId="0" borderId="325" xfId="1" applyFont="1" applyBorder="1" applyAlignment="1"/>
    <xf numFmtId="0" fontId="26" fillId="0" borderId="326" xfId="1" applyFont="1" applyBorder="1" applyAlignment="1"/>
    <xf numFmtId="170" fontId="22" fillId="0" borderId="327" xfId="1" applyNumberFormat="1" applyFont="1" applyBorder="1"/>
    <xf numFmtId="0" fontId="26" fillId="0" borderId="328" xfId="1" applyFont="1" applyBorder="1" applyAlignment="1"/>
    <xf numFmtId="0" fontId="26" fillId="0" borderId="329" xfId="1" applyFont="1" applyBorder="1" applyAlignment="1">
      <alignment horizontal="center"/>
    </xf>
    <xf numFmtId="0" fontId="26" fillId="0" borderId="330" xfId="1" applyFont="1" applyBorder="1" applyAlignment="1"/>
    <xf numFmtId="0" fontId="26" fillId="0" borderId="331" xfId="1" applyFont="1" applyBorder="1" applyAlignment="1"/>
    <xf numFmtId="0" fontId="26" fillId="0" borderId="332" xfId="1" applyFont="1" applyBorder="1" applyAlignment="1"/>
    <xf numFmtId="170" fontId="22" fillId="0" borderId="333" xfId="1" applyNumberFormat="1" applyFont="1" applyBorder="1"/>
    <xf numFmtId="0" fontId="26" fillId="0" borderId="334" xfId="1" applyFont="1" applyBorder="1" applyAlignment="1"/>
    <xf numFmtId="10" fontId="26" fillId="0" borderId="335" xfId="1" applyNumberFormat="1" applyFont="1" applyBorder="1"/>
    <xf numFmtId="10" fontId="26" fillId="0" borderId="199" xfId="1" applyNumberFormat="1" applyFont="1" applyBorder="1"/>
    <xf numFmtId="10" fontId="26" fillId="0" borderId="336" xfId="1" applyNumberFormat="1" applyFont="1" applyBorder="1" applyAlignment="1"/>
    <xf numFmtId="10" fontId="24" fillId="20" borderId="337" xfId="1" applyNumberFormat="1" applyFont="1" applyFill="1" applyBorder="1" applyAlignment="1">
      <alignment horizontal="right"/>
    </xf>
    <xf numFmtId="3" fontId="27" fillId="20" borderId="338" xfId="0" applyNumberFormat="1" applyFont="1" applyFill="1" applyBorder="1"/>
    <xf numFmtId="3" fontId="27" fillId="20" borderId="339" xfId="0" applyNumberFormat="1" applyFont="1" applyFill="1" applyBorder="1"/>
    <xf numFmtId="0" fontId="24" fillId="2" borderId="0" xfId="1" applyFont="1" applyFill="1"/>
    <xf numFmtId="0" fontId="14" fillId="0" borderId="284" xfId="1" applyFont="1" applyBorder="1" applyAlignment="1">
      <alignment horizontal="right"/>
    </xf>
    <xf numFmtId="0" fontId="14" fillId="0" borderId="341" xfId="1" applyFont="1" applyBorder="1" applyAlignment="1">
      <alignment horizontal="right"/>
    </xf>
    <xf numFmtId="0" fontId="24" fillId="0" borderId="0" xfId="1" applyFont="1" applyFill="1"/>
    <xf numFmtId="0" fontId="30" fillId="0" borderId="0" xfId="1" applyFont="1" applyFill="1" applyAlignment="1"/>
    <xf numFmtId="10" fontId="27" fillId="0" borderId="299" xfId="0" applyNumberFormat="1" applyFont="1" applyBorder="1"/>
    <xf numFmtId="10" fontId="27" fillId="0" borderId="13" xfId="0" applyNumberFormat="1" applyFont="1" applyBorder="1"/>
    <xf numFmtId="10" fontId="27" fillId="0" borderId="303" xfId="0" applyNumberFormat="1" applyFont="1" applyBorder="1"/>
    <xf numFmtId="10" fontId="27" fillId="0" borderId="14" xfId="0" applyNumberFormat="1" applyFont="1" applyBorder="1"/>
    <xf numFmtId="10" fontId="27" fillId="0" borderId="304" xfId="0" applyNumberFormat="1" applyFont="1" applyBorder="1"/>
    <xf numFmtId="10" fontId="27" fillId="0" borderId="245" xfId="0" applyNumberFormat="1" applyFont="1" applyBorder="1"/>
    <xf numFmtId="10" fontId="27" fillId="0" borderId="246" xfId="0" applyNumberFormat="1" applyFont="1" applyBorder="1"/>
    <xf numFmtId="10" fontId="27" fillId="0" borderId="300" xfId="0" applyNumberFormat="1" applyFont="1" applyBorder="1"/>
    <xf numFmtId="10" fontId="24" fillId="18" borderId="345" xfId="1" applyNumberFormat="1" applyFont="1" applyFill="1" applyBorder="1"/>
    <xf numFmtId="10" fontId="24" fillId="18" borderId="344" xfId="1" applyNumberFormat="1" applyFont="1" applyFill="1" applyBorder="1"/>
    <xf numFmtId="10" fontId="24" fillId="18" borderId="305" xfId="1" applyNumberFormat="1" applyFont="1" applyFill="1" applyBorder="1"/>
    <xf numFmtId="10" fontId="27" fillId="0" borderId="347" xfId="0" applyNumberFormat="1" applyFont="1" applyBorder="1"/>
    <xf numFmtId="10" fontId="27" fillId="0" borderId="346" xfId="0" applyNumberFormat="1" applyFont="1" applyBorder="1"/>
    <xf numFmtId="10" fontId="35" fillId="0" borderId="348" xfId="1" applyNumberFormat="1" applyFont="1" applyBorder="1" applyAlignment="1"/>
    <xf numFmtId="9" fontId="26" fillId="0" borderId="348" xfId="1" applyNumberFormat="1" applyFont="1" applyBorder="1" applyAlignment="1">
      <alignment horizontal="right"/>
    </xf>
    <xf numFmtId="10" fontId="16" fillId="0" borderId="44" xfId="1" applyNumberFormat="1" applyFont="1" applyBorder="1" applyAlignment="1"/>
    <xf numFmtId="10" fontId="16" fillId="0" borderId="206" xfId="1" applyNumberFormat="1" applyFont="1" applyBorder="1" applyAlignment="1"/>
    <xf numFmtId="10" fontId="16" fillId="0" borderId="348" xfId="1" applyNumberFormat="1" applyFont="1" applyBorder="1" applyAlignment="1"/>
    <xf numFmtId="44" fontId="16" fillId="0" borderId="44" xfId="2" applyFont="1" applyBorder="1" applyAlignment="1"/>
    <xf numFmtId="0" fontId="27" fillId="0" borderId="0" xfId="0" applyFont="1" applyBorder="1"/>
    <xf numFmtId="181" fontId="8" fillId="0" borderId="0" xfId="0" applyNumberFormat="1" applyFont="1" applyBorder="1" applyAlignment="1">
      <alignment horizontal="center"/>
    </xf>
    <xf numFmtId="181" fontId="8" fillId="0" borderId="13" xfId="0" applyNumberFormat="1" applyFont="1" applyBorder="1" applyAlignment="1">
      <alignment horizontal="center"/>
    </xf>
    <xf numFmtId="9" fontId="24" fillId="0" borderId="342" xfId="1" applyNumberFormat="1" applyFont="1" applyBorder="1"/>
    <xf numFmtId="9" fontId="24" fillId="0" borderId="343" xfId="1" applyNumberFormat="1" applyFont="1" applyBorder="1"/>
    <xf numFmtId="170" fontId="22" fillId="3" borderId="193" xfId="1" quotePrefix="1" applyNumberFormat="1" applyFont="1" applyFill="1" applyBorder="1"/>
    <xf numFmtId="170" fontId="22" fillId="0" borderId="207" xfId="1" quotePrefix="1" applyNumberFormat="1" applyFont="1" applyBorder="1" applyAlignment="1"/>
    <xf numFmtId="10" fontId="30" fillId="0" borderId="0" xfId="1" applyNumberFormat="1" applyFont="1" applyAlignment="1"/>
    <xf numFmtId="0" fontId="30" fillId="0" borderId="71" xfId="1" applyFont="1" applyBorder="1" applyAlignment="1">
      <alignment wrapText="1"/>
    </xf>
    <xf numFmtId="0" fontId="30" fillId="0" borderId="70" xfId="1" applyFont="1" applyBorder="1" applyAlignment="1">
      <alignment wrapText="1"/>
    </xf>
    <xf numFmtId="0" fontId="30" fillId="0" borderId="192" xfId="1" applyFont="1" applyBorder="1" applyAlignment="1">
      <alignment wrapText="1"/>
    </xf>
    <xf numFmtId="170" fontId="22" fillId="0" borderId="191" xfId="1" applyNumberFormat="1" applyFont="1" applyBorder="1" applyAlignment="1">
      <alignment wrapText="1"/>
    </xf>
    <xf numFmtId="10" fontId="35" fillId="0" borderId="74" xfId="1" applyNumberFormat="1" applyFont="1" applyBorder="1" applyAlignment="1"/>
    <xf numFmtId="0" fontId="30" fillId="0" borderId="163" xfId="1" applyFont="1" applyBorder="1" applyAlignment="1"/>
    <xf numFmtId="0" fontId="26" fillId="0" borderId="239" xfId="1" applyFont="1" applyBorder="1" applyAlignment="1"/>
    <xf numFmtId="10" fontId="26" fillId="0" borderId="0" xfId="1" applyNumberFormat="1" applyFont="1" applyAlignment="1"/>
    <xf numFmtId="0" fontId="26" fillId="0" borderId="0" xfId="1" applyFont="1" applyBorder="1" applyAlignment="1">
      <alignment horizontal="center"/>
    </xf>
    <xf numFmtId="0" fontId="30" fillId="0" borderId="0" xfId="1" applyFont="1" applyBorder="1"/>
    <xf numFmtId="170" fontId="22" fillId="0" borderId="0" xfId="1" applyNumberFormat="1" applyFont="1" applyBorder="1"/>
    <xf numFmtId="0" fontId="26" fillId="0" borderId="349" xfId="1" applyFont="1" applyBorder="1" applyAlignment="1"/>
    <xf numFmtId="0" fontId="30" fillId="0" borderId="350" xfId="1" applyFont="1" applyBorder="1"/>
    <xf numFmtId="0" fontId="30" fillId="0" borderId="351" xfId="1" applyFont="1" applyBorder="1"/>
    <xf numFmtId="0" fontId="30" fillId="0" borderId="352" xfId="1" applyFont="1" applyBorder="1"/>
    <xf numFmtId="0" fontId="30" fillId="0" borderId="351" xfId="1" applyFont="1" applyBorder="1" applyAlignment="1"/>
    <xf numFmtId="9" fontId="26" fillId="0" borderId="351" xfId="1" applyNumberFormat="1" applyFont="1" applyBorder="1" applyAlignment="1"/>
    <xf numFmtId="9" fontId="26" fillId="0" borderId="353" xfId="1" applyNumberFormat="1" applyFont="1" applyBorder="1" applyAlignment="1"/>
    <xf numFmtId="0" fontId="30" fillId="30" borderId="37" xfId="1" applyFont="1" applyFill="1" applyBorder="1"/>
    <xf numFmtId="0" fontId="26" fillId="0" borderId="37" xfId="1" applyFont="1" applyBorder="1" applyAlignment="1"/>
    <xf numFmtId="0" fontId="30" fillId="0" borderId="233" xfId="1" applyFont="1" applyBorder="1"/>
    <xf numFmtId="0" fontId="30" fillId="0" borderId="354" xfId="1" applyFont="1" applyBorder="1"/>
    <xf numFmtId="0" fontId="30" fillId="0" borderId="355" xfId="1" applyFont="1" applyBorder="1"/>
    <xf numFmtId="170" fontId="22" fillId="0" borderId="356" xfId="1" applyNumberFormat="1" applyFont="1" applyBorder="1" applyAlignment="1"/>
    <xf numFmtId="0" fontId="26" fillId="0" borderId="354" xfId="1" applyFont="1" applyBorder="1"/>
    <xf numFmtId="9" fontId="26" fillId="0" borderId="354" xfId="1" applyNumberFormat="1" applyFont="1" applyBorder="1" applyAlignment="1"/>
    <xf numFmtId="9" fontId="26" fillId="0" borderId="357" xfId="1" applyNumberFormat="1" applyFont="1" applyBorder="1" applyAlignment="1"/>
    <xf numFmtId="0" fontId="26" fillId="0" borderId="329" xfId="1" applyFont="1" applyBorder="1" applyAlignment="1">
      <alignment horizontal="left"/>
    </xf>
    <xf numFmtId="0" fontId="30" fillId="0" borderId="330" xfId="1" applyFont="1" applyBorder="1" applyAlignment="1"/>
    <xf numFmtId="0" fontId="30" fillId="0" borderId="331" xfId="1" applyFont="1" applyBorder="1" applyAlignment="1"/>
    <xf numFmtId="0" fontId="30" fillId="0" borderId="332" xfId="1" applyFont="1" applyBorder="1" applyAlignment="1"/>
    <xf numFmtId="0" fontId="30" fillId="0" borderId="0" xfId="1" applyFont="1" applyBorder="1" applyAlignment="1"/>
    <xf numFmtId="0" fontId="26" fillId="0" borderId="360" xfId="1" applyFont="1" applyBorder="1" applyAlignment="1"/>
    <xf numFmtId="9" fontId="26" fillId="0" borderId="314" xfId="1" applyNumberFormat="1" applyFont="1" applyBorder="1" applyAlignment="1"/>
    <xf numFmtId="9" fontId="26" fillId="0" borderId="316" xfId="1" applyNumberFormat="1" applyFont="1" applyBorder="1" applyAlignment="1"/>
    <xf numFmtId="10" fontId="26" fillId="0" borderId="0" xfId="1" applyNumberFormat="1" applyFont="1" applyBorder="1" applyAlignment="1"/>
    <xf numFmtId="9" fontId="26" fillId="0" borderId="331" xfId="1" applyNumberFormat="1" applyFont="1" applyBorder="1" applyAlignment="1"/>
    <xf numFmtId="9" fontId="26" fillId="0" borderId="334" xfId="1" applyNumberFormat="1" applyFont="1" applyBorder="1" applyAlignment="1"/>
    <xf numFmtId="10" fontId="26" fillId="0" borderId="353" xfId="1" applyNumberFormat="1" applyFont="1" applyBorder="1" applyAlignment="1"/>
    <xf numFmtId="181" fontId="8" fillId="0" borderId="0" xfId="0" applyNumberFormat="1" applyFont="1" applyFill="1" applyBorder="1"/>
    <xf numFmtId="170" fontId="22" fillId="0" borderId="361" xfId="1" applyNumberFormat="1" applyFont="1" applyBorder="1" applyAlignment="1">
      <alignment horizontal="right"/>
    </xf>
    <xf numFmtId="173" fontId="14" fillId="0" borderId="91" xfId="1" applyNumberFormat="1" applyFont="1" applyBorder="1"/>
    <xf numFmtId="173" fontId="14" fillId="0" borderId="130" xfId="1" applyNumberFormat="1" applyFont="1" applyBorder="1"/>
    <xf numFmtId="0" fontId="27" fillId="0" borderId="118" xfId="0" applyFont="1" applyBorder="1"/>
    <xf numFmtId="9" fontId="27" fillId="0" borderId="0" xfId="0" applyNumberFormat="1" applyFont="1" applyBorder="1"/>
    <xf numFmtId="0" fontId="27" fillId="0" borderId="0" xfId="0" applyFont="1" applyBorder="1" applyAlignment="1">
      <alignment horizontal="center"/>
    </xf>
    <xf numFmtId="0" fontId="30" fillId="52" borderId="74" xfId="1" applyFont="1" applyFill="1" applyBorder="1" applyAlignment="1"/>
    <xf numFmtId="0" fontId="30" fillId="52" borderId="194" xfId="1" applyFont="1" applyFill="1" applyBorder="1"/>
    <xf numFmtId="181" fontId="8" fillId="0" borderId="113" xfId="0" applyNumberFormat="1" applyFont="1" applyFill="1" applyBorder="1"/>
    <xf numFmtId="181" fontId="8" fillId="0" borderId="16" xfId="0" applyNumberFormat="1" applyFont="1" applyFill="1" applyBorder="1"/>
    <xf numFmtId="2" fontId="8" fillId="0" borderId="0" xfId="0" applyNumberFormat="1" applyFont="1"/>
    <xf numFmtId="10" fontId="27" fillId="0" borderId="0" xfId="0" applyNumberFormat="1" applyFont="1"/>
    <xf numFmtId="181" fontId="8" fillId="0" borderId="165" xfId="0" applyNumberFormat="1" applyFont="1" applyBorder="1"/>
    <xf numFmtId="181" fontId="8" fillId="0" borderId="166" xfId="0" applyNumberFormat="1" applyFont="1" applyBorder="1"/>
    <xf numFmtId="0" fontId="8" fillId="23" borderId="0" xfId="0" applyFont="1" applyFill="1" applyBorder="1"/>
    <xf numFmtId="1" fontId="11" fillId="0" borderId="13" xfId="0" applyNumberFormat="1" applyFont="1" applyFill="1" applyBorder="1" applyAlignment="1">
      <alignment horizontal="center"/>
    </xf>
    <xf numFmtId="1" fontId="8" fillId="0" borderId="13" xfId="0" applyNumberFormat="1" applyFont="1" applyFill="1" applyBorder="1" applyAlignment="1">
      <alignment horizontal="center"/>
    </xf>
    <xf numFmtId="181" fontId="8" fillId="0" borderId="13" xfId="0" applyNumberFormat="1" applyFont="1" applyFill="1" applyBorder="1"/>
    <xf numFmtId="0" fontId="9" fillId="24" borderId="112" xfId="0" applyFont="1" applyFill="1" applyBorder="1"/>
    <xf numFmtId="181" fontId="8" fillId="0" borderId="0" xfId="0" applyNumberFormat="1" applyFont="1" applyBorder="1"/>
    <xf numFmtId="181" fontId="8" fillId="0" borderId="162" xfId="0" applyNumberFormat="1" applyFont="1" applyBorder="1"/>
    <xf numFmtId="181" fontId="8" fillId="24" borderId="157" xfId="0" applyNumberFormat="1" applyFont="1" applyFill="1" applyBorder="1"/>
    <xf numFmtId="181" fontId="8" fillId="24" borderId="115" xfId="0" applyNumberFormat="1" applyFont="1" applyFill="1" applyBorder="1"/>
    <xf numFmtId="179" fontId="8" fillId="0" borderId="0" xfId="2" applyNumberFormat="1" applyFont="1" applyBorder="1"/>
    <xf numFmtId="0" fontId="12" fillId="19" borderId="282" xfId="1" applyFont="1" applyFill="1" applyBorder="1" applyAlignment="1">
      <alignment horizontal="center"/>
    </xf>
    <xf numFmtId="0" fontId="12" fillId="19" borderId="286" xfId="1" applyFont="1" applyFill="1" applyBorder="1" applyAlignment="1">
      <alignment horizontal="center"/>
    </xf>
    <xf numFmtId="0" fontId="12" fillId="20" borderId="283" xfId="1" applyFont="1" applyFill="1" applyBorder="1" applyAlignment="1">
      <alignment horizontal="center"/>
    </xf>
    <xf numFmtId="0" fontId="12" fillId="20" borderId="285" xfId="1" applyFont="1" applyFill="1" applyBorder="1" applyAlignment="1">
      <alignment horizontal="center"/>
    </xf>
    <xf numFmtId="0" fontId="9" fillId="0" borderId="0" xfId="0" applyFont="1" applyAlignment="1">
      <alignment horizontal="center"/>
    </xf>
    <xf numFmtId="0" fontId="30" fillId="25" borderId="209" xfId="1" applyFont="1" applyFill="1" applyBorder="1"/>
    <xf numFmtId="9" fontId="27" fillId="0" borderId="0" xfId="0" applyNumberFormat="1" applyFont="1"/>
    <xf numFmtId="0" fontId="30" fillId="0" borderId="209" xfId="1" applyFont="1" applyFill="1" applyBorder="1"/>
    <xf numFmtId="0" fontId="8" fillId="0" borderId="239" xfId="0" applyFont="1" applyBorder="1"/>
    <xf numFmtId="0" fontId="8" fillId="0" borderId="236" xfId="0" applyFont="1" applyBorder="1"/>
    <xf numFmtId="2" fontId="24" fillId="0" borderId="300" xfId="1" applyNumberFormat="1" applyFont="1" applyBorder="1" applyAlignment="1">
      <alignment horizontal="right"/>
    </xf>
    <xf numFmtId="2" fontId="24" fillId="0" borderId="245" xfId="1" applyNumberFormat="1" applyFont="1" applyBorder="1" applyAlignment="1">
      <alignment horizontal="right"/>
    </xf>
    <xf numFmtId="2" fontId="24" fillId="0" borderId="246" xfId="1" applyNumberFormat="1" applyFont="1" applyBorder="1" applyAlignment="1">
      <alignment horizontal="right"/>
    </xf>
    <xf numFmtId="169" fontId="13" fillId="0" borderId="300" xfId="6" applyNumberFormat="1" applyFont="1" applyBorder="1" applyAlignment="1">
      <alignment horizontal="right"/>
    </xf>
    <xf numFmtId="169" fontId="13" fillId="0" borderId="245" xfId="1" applyNumberFormat="1" applyFont="1" applyBorder="1" applyAlignment="1">
      <alignment horizontal="right"/>
    </xf>
    <xf numFmtId="0" fontId="30" fillId="0" borderId="0" xfId="1" applyFont="1" applyFill="1"/>
    <xf numFmtId="0" fontId="8" fillId="0" borderId="163" xfId="0" applyFont="1" applyBorder="1" applyAlignment="1">
      <alignment wrapText="1"/>
    </xf>
    <xf numFmtId="0" fontId="8" fillId="0" borderId="163" xfId="0" applyFont="1" applyBorder="1" applyAlignment="1"/>
    <xf numFmtId="0" fontId="25" fillId="45" borderId="371" xfId="1" applyFont="1" applyFill="1" applyBorder="1" applyAlignment="1">
      <alignment horizontal="left" wrapText="1"/>
    </xf>
    <xf numFmtId="0" fontId="25" fillId="45" borderId="372" xfId="1" applyFont="1" applyFill="1" applyBorder="1" applyAlignment="1">
      <alignment horizontal="left" wrapText="1"/>
    </xf>
    <xf numFmtId="0" fontId="25" fillId="45" borderId="373" xfId="1" applyFont="1" applyFill="1" applyBorder="1" applyAlignment="1">
      <alignment horizontal="left" wrapText="1"/>
    </xf>
    <xf numFmtId="0" fontId="25" fillId="35" borderId="273" xfId="1" applyFont="1" applyFill="1" applyBorder="1" applyAlignment="1">
      <alignment horizontal="center" wrapText="1"/>
    </xf>
    <xf numFmtId="0" fontId="27" fillId="0" borderId="14" xfId="0" applyFont="1" applyBorder="1"/>
    <xf numFmtId="0" fontId="14" fillId="0" borderId="290" xfId="1" applyFont="1" applyBorder="1" applyAlignment="1">
      <alignment horizontal="right"/>
    </xf>
    <xf numFmtId="0" fontId="14" fillId="0" borderId="377" xfId="1" applyFont="1" applyBorder="1" applyAlignment="1">
      <alignment horizontal="right"/>
    </xf>
    <xf numFmtId="0" fontId="14" fillId="0" borderId="378" xfId="1" applyFont="1" applyBorder="1" applyAlignment="1">
      <alignment horizontal="right"/>
    </xf>
    <xf numFmtId="0" fontId="14" fillId="0" borderId="379" xfId="1" applyFont="1" applyBorder="1" applyAlignment="1">
      <alignment horizontal="right"/>
    </xf>
    <xf numFmtId="0" fontId="27" fillId="21" borderId="162" xfId="0" applyFont="1" applyFill="1" applyBorder="1" applyAlignment="1">
      <alignment horizontal="center" vertical="center" wrapText="1"/>
    </xf>
    <xf numFmtId="9" fontId="27" fillId="21" borderId="162" xfId="0" applyNumberFormat="1" applyFont="1" applyFill="1" applyBorder="1" applyAlignment="1">
      <alignment horizontal="left" vertical="center"/>
    </xf>
    <xf numFmtId="9" fontId="27" fillId="21" borderId="162" xfId="0" applyNumberFormat="1" applyFont="1" applyFill="1" applyBorder="1"/>
    <xf numFmtId="0" fontId="27" fillId="21" borderId="162" xfId="0" applyFont="1" applyFill="1" applyBorder="1"/>
    <xf numFmtId="170" fontId="27" fillId="21" borderId="162" xfId="0" applyNumberFormat="1" applyFont="1" applyFill="1" applyBorder="1" applyAlignment="1">
      <alignment horizontal="left"/>
    </xf>
    <xf numFmtId="9" fontId="27" fillId="21" borderId="162" xfId="0" applyNumberFormat="1" applyFont="1" applyFill="1" applyBorder="1" applyAlignment="1">
      <alignment horizontal="left"/>
    </xf>
    <xf numFmtId="0" fontId="27" fillId="0" borderId="244" xfId="0" applyFont="1" applyBorder="1"/>
    <xf numFmtId="0" fontId="27" fillId="0" borderId="246" xfId="0" applyFont="1" applyBorder="1"/>
    <xf numFmtId="0" fontId="33" fillId="0" borderId="238" xfId="0" applyFont="1" applyBorder="1" applyAlignment="1">
      <alignment horizontal="right" vertical="center" wrapText="1"/>
    </xf>
    <xf numFmtId="165" fontId="27" fillId="0" borderId="164" xfId="0" applyNumberFormat="1" applyFont="1" applyBorder="1" applyAlignment="1"/>
    <xf numFmtId="165" fontId="27" fillId="0" borderId="165" xfId="0" applyNumberFormat="1" applyFont="1" applyBorder="1" applyAlignment="1"/>
    <xf numFmtId="0" fontId="27" fillId="0" borderId="0" xfId="0" applyFont="1" applyBorder="1" applyAlignment="1">
      <alignment wrapText="1"/>
    </xf>
    <xf numFmtId="0" fontId="27" fillId="0" borderId="142" xfId="0" applyFont="1" applyBorder="1" applyAlignment="1">
      <alignment wrapText="1"/>
    </xf>
    <xf numFmtId="0" fontId="37" fillId="0" borderId="242" xfId="0" applyFont="1" applyBorder="1"/>
    <xf numFmtId="0" fontId="8" fillId="0" borderId="163" xfId="0" applyFont="1" applyBorder="1" applyAlignment="1">
      <alignment horizontal="left"/>
    </xf>
    <xf numFmtId="0" fontId="8" fillId="0" borderId="161" xfId="0" applyFont="1" applyBorder="1" applyAlignment="1">
      <alignment horizontal="left"/>
    </xf>
    <xf numFmtId="169" fontId="30" fillId="0" borderId="0" xfId="1" applyNumberFormat="1" applyFont="1" applyAlignment="1"/>
    <xf numFmtId="164" fontId="30" fillId="0" borderId="0" xfId="1" applyNumberFormat="1" applyFont="1" applyAlignment="1"/>
    <xf numFmtId="0" fontId="27" fillId="0" borderId="389" xfId="0" applyFont="1" applyBorder="1"/>
    <xf numFmtId="170" fontId="31" fillId="21" borderId="162" xfId="0" applyNumberFormat="1" applyFont="1" applyFill="1" applyBorder="1" applyAlignment="1">
      <alignment horizontal="left"/>
    </xf>
    <xf numFmtId="181" fontId="8" fillId="0" borderId="13" xfId="0" applyNumberFormat="1" applyFont="1" applyFill="1" applyBorder="1" applyAlignment="1">
      <alignment horizontal="center"/>
    </xf>
    <xf numFmtId="0" fontId="11" fillId="0" borderId="239" xfId="0" applyFont="1" applyFill="1" applyBorder="1" applyAlignment="1">
      <alignment horizontal="left"/>
    </xf>
    <xf numFmtId="0" fontId="8" fillId="0" borderId="239" xfId="0" applyFont="1" applyFill="1" applyBorder="1" applyAlignment="1">
      <alignment horizontal="left"/>
    </xf>
    <xf numFmtId="0" fontId="8" fillId="0" borderId="236" xfId="0" applyFont="1" applyFill="1" applyBorder="1" applyAlignment="1">
      <alignment horizontal="left"/>
    </xf>
    <xf numFmtId="175" fontId="8" fillId="0" borderId="0" xfId="0" applyNumberFormat="1" applyFont="1" applyBorder="1"/>
    <xf numFmtId="0" fontId="8" fillId="0" borderId="239" xfId="0" applyFont="1" applyBorder="1" applyAlignment="1">
      <alignment wrapText="1"/>
    </xf>
    <xf numFmtId="0" fontId="38" fillId="0" borderId="0" xfId="0" applyFont="1"/>
    <xf numFmtId="0" fontId="39" fillId="0" borderId="0" xfId="0" applyFont="1"/>
    <xf numFmtId="0" fontId="39" fillId="0" borderId="0" xfId="0" applyFont="1" applyAlignment="1">
      <alignment horizontal="center"/>
    </xf>
    <xf numFmtId="0" fontId="39" fillId="0" borderId="164" xfId="0" applyFont="1" applyBorder="1"/>
    <xf numFmtId="10" fontId="38" fillId="0" borderId="235" xfId="0" applyNumberFormat="1" applyFont="1" applyBorder="1" applyAlignment="1">
      <alignment horizontal="center"/>
    </xf>
    <xf numFmtId="0" fontId="40" fillId="15" borderId="164" xfId="0" applyFont="1" applyFill="1" applyBorder="1" applyAlignment="1">
      <alignment horizontal="right"/>
    </xf>
    <xf numFmtId="0" fontId="38" fillId="15" borderId="235" xfId="0" applyFont="1" applyFill="1" applyBorder="1" applyAlignment="1">
      <alignment horizontal="center"/>
    </xf>
    <xf numFmtId="0" fontId="40" fillId="0" borderId="10" xfId="0" applyFont="1" applyBorder="1" applyAlignment="1">
      <alignment horizontal="left"/>
    </xf>
    <xf numFmtId="10" fontId="38" fillId="0" borderId="0" xfId="0" applyNumberFormat="1" applyFont="1" applyBorder="1"/>
    <xf numFmtId="0" fontId="40" fillId="15" borderId="163" xfId="0" applyFont="1" applyFill="1" applyBorder="1" applyAlignment="1">
      <alignment horizontal="right"/>
    </xf>
    <xf numFmtId="0" fontId="38" fillId="15" borderId="239" xfId="0" applyFont="1" applyFill="1" applyBorder="1" applyAlignment="1">
      <alignment horizontal="center"/>
    </xf>
    <xf numFmtId="0" fontId="38" fillId="0" borderId="163" xfId="0" applyFont="1" applyBorder="1" applyAlignment="1">
      <alignment horizontal="left"/>
    </xf>
    <xf numFmtId="181" fontId="38" fillId="0" borderId="0" xfId="0" applyNumberFormat="1" applyFont="1" applyBorder="1"/>
    <xf numFmtId="181" fontId="38" fillId="0" borderId="13" xfId="0" applyNumberFormat="1" applyFont="1" applyBorder="1"/>
    <xf numFmtId="0" fontId="38" fillId="0" borderId="235" xfId="0" applyFont="1" applyBorder="1" applyAlignment="1">
      <alignment horizontal="center"/>
    </xf>
    <xf numFmtId="0" fontId="38" fillId="0" borderId="163" xfId="0" applyFont="1" applyBorder="1" applyAlignment="1">
      <alignment horizontal="left" indent="1"/>
    </xf>
    <xf numFmtId="10" fontId="38" fillId="15" borderId="235" xfId="0" applyNumberFormat="1" applyFont="1" applyFill="1" applyBorder="1" applyAlignment="1">
      <alignment horizontal="center"/>
    </xf>
    <xf numFmtId="10" fontId="38" fillId="15" borderId="239" xfId="0" applyNumberFormat="1" applyFont="1" applyFill="1" applyBorder="1" applyAlignment="1">
      <alignment horizontal="center"/>
    </xf>
    <xf numFmtId="0" fontId="40" fillId="0" borderId="164" xfId="0" applyFont="1" applyFill="1" applyBorder="1"/>
    <xf numFmtId="181" fontId="38" fillId="0" borderId="165" xfId="0" applyNumberFormat="1" applyFont="1" applyBorder="1"/>
    <xf numFmtId="181" fontId="38" fillId="0" borderId="11" xfId="0" applyNumberFormat="1" applyFont="1" applyBorder="1"/>
    <xf numFmtId="181" fontId="38" fillId="0" borderId="12" xfId="0" applyNumberFormat="1" applyFont="1" applyBorder="1"/>
    <xf numFmtId="181" fontId="38" fillId="0" borderId="0" xfId="0" applyNumberFormat="1" applyFont="1" applyFill="1" applyBorder="1"/>
    <xf numFmtId="0" fontId="39" fillId="21" borderId="112" xfId="0" applyFont="1" applyFill="1" applyBorder="1"/>
    <xf numFmtId="10" fontId="38" fillId="21" borderId="365" xfId="0" applyNumberFormat="1" applyFont="1" applyFill="1" applyBorder="1" applyAlignment="1">
      <alignment horizontal="center"/>
    </xf>
    <xf numFmtId="0" fontId="40" fillId="0" borderId="10" xfId="0" applyFont="1" applyFill="1" applyBorder="1"/>
    <xf numFmtId="181" fontId="38" fillId="0" borderId="11" xfId="0" applyNumberFormat="1" applyFont="1" applyBorder="1" applyAlignment="1">
      <alignment horizontal="center"/>
    </xf>
    <xf numFmtId="10" fontId="38" fillId="0" borderId="0" xfId="0" applyNumberFormat="1" applyFont="1" applyFill="1" applyBorder="1"/>
    <xf numFmtId="0" fontId="40" fillId="50" borderId="161" xfId="0" applyFont="1" applyFill="1" applyBorder="1"/>
    <xf numFmtId="181" fontId="38" fillId="50" borderId="162" xfId="0" applyNumberFormat="1" applyFont="1" applyFill="1" applyBorder="1"/>
    <xf numFmtId="166" fontId="38" fillId="0" borderId="0" xfId="0" applyNumberFormat="1" applyFont="1" applyFill="1" applyBorder="1"/>
    <xf numFmtId="0" fontId="38" fillId="0" borderId="0" xfId="0" applyFont="1" applyFill="1" applyBorder="1"/>
    <xf numFmtId="0" fontId="39" fillId="20" borderId="112" xfId="0" applyFont="1" applyFill="1" applyBorder="1"/>
    <xf numFmtId="0" fontId="38" fillId="0" borderId="239" xfId="0" applyFont="1" applyFill="1" applyBorder="1"/>
    <xf numFmtId="181" fontId="38" fillId="0" borderId="13" xfId="0" applyNumberFormat="1" applyFont="1" applyFill="1" applyBorder="1"/>
    <xf numFmtId="0" fontId="38" fillId="0" borderId="112" xfId="0" applyFont="1" applyFill="1" applyBorder="1"/>
    <xf numFmtId="0" fontId="38" fillId="0" borderId="236" xfId="0" applyFont="1" applyFill="1" applyBorder="1"/>
    <xf numFmtId="2" fontId="38" fillId="0" borderId="162" xfId="0" applyNumberFormat="1" applyFont="1" applyFill="1" applyBorder="1"/>
    <xf numFmtId="0" fontId="38" fillId="0" borderId="239" xfId="0" applyFont="1" applyFill="1" applyBorder="1" applyAlignment="1"/>
    <xf numFmtId="0" fontId="38" fillId="0" borderId="239" xfId="0" applyFont="1" applyFill="1" applyBorder="1" applyAlignment="1">
      <alignment horizontal="left"/>
    </xf>
    <xf numFmtId="0" fontId="38" fillId="0" borderId="239" xfId="0" applyFont="1" applyBorder="1" applyAlignment="1">
      <alignment horizontal="left" indent="1"/>
    </xf>
    <xf numFmtId="0" fontId="38" fillId="0" borderId="13" xfId="0" applyFont="1" applyBorder="1"/>
    <xf numFmtId="0" fontId="38" fillId="24" borderId="112" xfId="0" applyFont="1" applyFill="1" applyBorder="1"/>
    <xf numFmtId="181" fontId="38" fillId="24" borderId="113" xfId="0" applyNumberFormat="1" applyFont="1" applyFill="1" applyBorder="1"/>
    <xf numFmtId="181" fontId="38" fillId="24" borderId="16" xfId="0" applyNumberFormat="1" applyFont="1" applyFill="1" applyBorder="1"/>
    <xf numFmtId="0" fontId="38" fillId="0" borderId="236" xfId="0" applyFont="1" applyBorder="1" applyAlignment="1">
      <alignment horizontal="left" indent="1"/>
    </xf>
    <xf numFmtId="0" fontId="38" fillId="0" borderId="0" xfId="0" applyFont="1" applyBorder="1"/>
    <xf numFmtId="186" fontId="38" fillId="0" borderId="0" xfId="0" applyNumberFormat="1" applyFont="1"/>
    <xf numFmtId="181" fontId="38" fillId="0" borderId="118" xfId="0" applyNumberFormat="1" applyFont="1" applyFill="1" applyBorder="1"/>
    <xf numFmtId="181" fontId="38" fillId="0" borderId="15" xfId="0" applyNumberFormat="1" applyFont="1" applyFill="1" applyBorder="1"/>
    <xf numFmtId="3" fontId="27" fillId="0" borderId="14" xfId="0" applyNumberFormat="1" applyFont="1" applyBorder="1"/>
    <xf numFmtId="0" fontId="8" fillId="0" borderId="13" xfId="0" applyFont="1" applyBorder="1"/>
    <xf numFmtId="9" fontId="8" fillId="0" borderId="0" xfId="0" applyNumberFormat="1" applyFont="1" applyBorder="1"/>
    <xf numFmtId="0" fontId="8" fillId="0" borderId="113" xfId="0" applyFont="1" applyBorder="1"/>
    <xf numFmtId="0" fontId="8" fillId="0" borderId="16" xfId="0" applyFont="1" applyBorder="1"/>
    <xf numFmtId="0" fontId="9" fillId="0" borderId="112" xfId="0" applyFont="1" applyBorder="1" applyAlignment="1">
      <alignment horizontal="left"/>
    </xf>
    <xf numFmtId="166" fontId="38" fillId="0" borderId="236" xfId="0" applyNumberFormat="1" applyFont="1" applyBorder="1"/>
    <xf numFmtId="166" fontId="38" fillId="0" borderId="9" xfId="0" applyNumberFormat="1" applyFont="1" applyBorder="1"/>
    <xf numFmtId="170" fontId="38" fillId="0" borderId="9" xfId="0" applyNumberFormat="1" applyFont="1" applyBorder="1"/>
    <xf numFmtId="170" fontId="38" fillId="0" borderId="235" xfId="0" applyNumberFormat="1" applyFont="1" applyBorder="1"/>
    <xf numFmtId="10" fontId="38" fillId="0" borderId="9" xfId="12" applyNumberFormat="1" applyFont="1" applyBorder="1"/>
    <xf numFmtId="0" fontId="38" fillId="0" borderId="9" xfId="0" applyFont="1" applyBorder="1"/>
    <xf numFmtId="0" fontId="38" fillId="0" borderId="9" xfId="0" applyFont="1" applyFill="1" applyBorder="1"/>
    <xf numFmtId="0" fontId="38" fillId="7" borderId="0" xfId="0" applyFont="1" applyFill="1"/>
    <xf numFmtId="1" fontId="38" fillId="0" borderId="9" xfId="0" applyNumberFormat="1" applyFont="1" applyBorder="1"/>
    <xf numFmtId="0" fontId="38" fillId="0" borderId="9" xfId="0" applyNumberFormat="1" applyFont="1" applyBorder="1"/>
    <xf numFmtId="0" fontId="38" fillId="0" borderId="0" xfId="0" quotePrefix="1" applyFont="1"/>
    <xf numFmtId="0" fontId="9" fillId="0" borderId="112" xfId="0" applyFont="1" applyBorder="1"/>
    <xf numFmtId="178" fontId="8" fillId="0" borderId="113" xfId="0" applyNumberFormat="1" applyFont="1" applyBorder="1"/>
    <xf numFmtId="178" fontId="8" fillId="0" borderId="16" xfId="0" applyNumberFormat="1" applyFont="1" applyBorder="1"/>
    <xf numFmtId="0" fontId="8" fillId="25" borderId="0" xfId="0" applyFont="1" applyFill="1" applyBorder="1"/>
    <xf numFmtId="0" fontId="8" fillId="25" borderId="0" xfId="0" applyFont="1" applyFill="1"/>
    <xf numFmtId="0" fontId="8" fillId="0" borderId="112" xfId="0" applyFont="1" applyBorder="1"/>
    <xf numFmtId="44" fontId="8" fillId="0" borderId="113" xfId="2" applyFont="1" applyBorder="1"/>
    <xf numFmtId="44" fontId="8" fillId="0" borderId="16" xfId="2" applyFont="1" applyBorder="1"/>
    <xf numFmtId="0" fontId="9" fillId="0" borderId="0" xfId="0" applyFont="1" applyFill="1"/>
    <xf numFmtId="0" fontId="8" fillId="0" borderId="239" xfId="0" applyFont="1" applyBorder="1" applyAlignment="1">
      <alignment horizontal="left"/>
    </xf>
    <xf numFmtId="0" fontId="9" fillId="0" borderId="161" xfId="0" applyFont="1" applyFill="1" applyBorder="1"/>
    <xf numFmtId="0" fontId="8" fillId="0" borderId="142" xfId="0" applyFont="1" applyFill="1" applyBorder="1"/>
    <xf numFmtId="0" fontId="8" fillId="0" borderId="162" xfId="0" applyFont="1" applyFill="1" applyBorder="1"/>
    <xf numFmtId="0" fontId="9" fillId="0" borderId="161" xfId="0" applyFont="1" applyBorder="1" applyAlignment="1">
      <alignment horizontal="left"/>
    </xf>
    <xf numFmtId="0" fontId="8" fillId="0" borderId="142" xfId="0" applyFont="1" applyBorder="1"/>
    <xf numFmtId="0" fontId="8" fillId="0" borderId="162" xfId="0" applyFont="1" applyBorder="1"/>
    <xf numFmtId="0" fontId="9" fillId="0" borderId="10" xfId="0" applyFont="1" applyBorder="1" applyAlignment="1">
      <alignment horizontal="left"/>
    </xf>
    <xf numFmtId="0" fontId="8" fillId="0" borderId="11" xfId="0" applyFont="1" applyBorder="1"/>
    <xf numFmtId="0" fontId="8" fillId="0" borderId="12" xfId="0" applyFont="1" applyBorder="1"/>
    <xf numFmtId="0" fontId="9" fillId="0" borderId="161" xfId="0" applyFont="1" applyFill="1" applyBorder="1" applyAlignment="1">
      <alignment horizontal="left" wrapText="1"/>
    </xf>
    <xf numFmtId="0" fontId="38" fillId="0" borderId="0" xfId="0" applyFont="1" applyAlignment="1">
      <alignment horizontal="center"/>
    </xf>
    <xf numFmtId="0" fontId="38" fillId="0" borderId="0" xfId="0" applyNumberFormat="1" applyFont="1"/>
    <xf numFmtId="0" fontId="38" fillId="0" borderId="401" xfId="0" applyFont="1" applyBorder="1"/>
    <xf numFmtId="0" fontId="38" fillId="0" borderId="402" xfId="0" applyFont="1" applyFill="1" applyBorder="1"/>
    <xf numFmtId="0" fontId="38" fillId="0" borderId="401" xfId="0" applyNumberFormat="1" applyFont="1" applyBorder="1"/>
    <xf numFmtId="175" fontId="38" fillId="0" borderId="402" xfId="0" applyNumberFormat="1" applyFont="1" applyBorder="1"/>
    <xf numFmtId="0" fontId="38" fillId="0" borderId="404" xfId="0" applyNumberFormat="1" applyFont="1" applyBorder="1"/>
    <xf numFmtId="175" fontId="38" fillId="0" borderId="406" xfId="0" applyNumberFormat="1" applyFont="1" applyBorder="1"/>
    <xf numFmtId="0" fontId="38" fillId="0" borderId="402" xfId="0" applyFont="1" applyBorder="1"/>
    <xf numFmtId="0" fontId="38" fillId="0" borderId="404" xfId="0" applyFont="1" applyBorder="1"/>
    <xf numFmtId="2" fontId="38" fillId="0" borderId="406" xfId="0" applyNumberFormat="1" applyFont="1" applyBorder="1"/>
    <xf numFmtId="0" fontId="39" fillId="8" borderId="17" xfId="0" applyFont="1" applyFill="1" applyBorder="1"/>
    <xf numFmtId="0" fontId="39" fillId="8" borderId="123" xfId="0" applyFont="1" applyFill="1" applyBorder="1"/>
    <xf numFmtId="0" fontId="42" fillId="8" borderId="114" xfId="3" applyFont="1" applyFill="1" applyBorder="1" applyAlignment="1">
      <alignment horizontal="center" vertical="center" wrapText="1"/>
    </xf>
    <xf numFmtId="0" fontId="39" fillId="8" borderId="123" xfId="0" applyFont="1" applyFill="1" applyBorder="1" applyAlignment="1">
      <alignment horizontal="center" vertical="center" wrapText="1"/>
    </xf>
    <xf numFmtId="0" fontId="39" fillId="8" borderId="407" xfId="0" applyFont="1" applyFill="1" applyBorder="1" applyAlignment="1">
      <alignment horizontal="center" vertical="center" wrapText="1"/>
    </xf>
    <xf numFmtId="0" fontId="39" fillId="8" borderId="407" xfId="0" applyNumberFormat="1" applyFont="1" applyFill="1" applyBorder="1" applyAlignment="1">
      <alignment horizontal="center" vertical="center" wrapText="1"/>
    </xf>
    <xf numFmtId="0" fontId="39" fillId="8" borderId="365" xfId="0" applyFont="1" applyFill="1" applyBorder="1" applyAlignment="1">
      <alignment horizontal="center" vertical="center"/>
    </xf>
    <xf numFmtId="0" fontId="38" fillId="0" borderId="0" xfId="0" applyFont="1" applyAlignment="1">
      <alignment horizontal="center" vertical="center"/>
    </xf>
    <xf numFmtId="0" fontId="42" fillId="0" borderId="408" xfId="3" applyFont="1" applyBorder="1" applyAlignment="1"/>
    <xf numFmtId="0" fontId="38" fillId="0" borderId="162" xfId="0" applyFont="1" applyBorder="1" applyAlignment="1">
      <alignment wrapText="1"/>
    </xf>
    <xf numFmtId="0" fontId="43" fillId="0" borderId="236" xfId="3" applyFont="1" applyFill="1" applyBorder="1" applyAlignment="1">
      <alignment horizontal="left" vertical="center" wrapText="1"/>
    </xf>
    <xf numFmtId="0" fontId="38" fillId="0" borderId="236" xfId="0" applyNumberFormat="1" applyFont="1" applyBorder="1"/>
    <xf numFmtId="0" fontId="38" fillId="0" borderId="236" xfId="0" applyFont="1" applyBorder="1"/>
    <xf numFmtId="0" fontId="42" fillId="0" borderId="409" xfId="3" applyFont="1" applyBorder="1" applyAlignment="1"/>
    <xf numFmtId="0" fontId="38" fillId="0" borderId="12" xfId="0" applyFont="1" applyBorder="1" applyAlignment="1">
      <alignment wrapText="1"/>
    </xf>
    <xf numFmtId="0" fontId="43" fillId="0" borderId="9" xfId="3" applyFont="1" applyFill="1" applyBorder="1" applyAlignment="1">
      <alignment horizontal="left" vertical="center" wrapText="1"/>
    </xf>
    <xf numFmtId="0" fontId="38" fillId="0" borderId="9" xfId="0" applyFont="1" applyBorder="1" applyAlignment="1">
      <alignment wrapText="1"/>
    </xf>
    <xf numFmtId="0" fontId="38" fillId="0" borderId="12" xfId="0" applyFont="1" applyBorder="1"/>
    <xf numFmtId="169" fontId="43" fillId="0" borderId="9" xfId="14" applyFont="1" applyFill="1" applyBorder="1" applyAlignment="1">
      <alignment horizontal="left" vertical="center"/>
    </xf>
    <xf numFmtId="0" fontId="42" fillId="0" borderId="409" xfId="3" applyFont="1" applyFill="1" applyBorder="1" applyAlignment="1"/>
    <xf numFmtId="169" fontId="43" fillId="0" borderId="9" xfId="14" applyFont="1" applyFill="1" applyBorder="1" applyAlignment="1">
      <alignment horizontal="left" vertical="center" wrapText="1"/>
    </xf>
    <xf numFmtId="0" fontId="38" fillId="0" borderId="9" xfId="0" applyFont="1" applyFill="1" applyBorder="1" applyAlignment="1">
      <alignment wrapText="1"/>
    </xf>
    <xf numFmtId="0" fontId="38" fillId="0" borderId="136" xfId="0" applyFont="1" applyBorder="1"/>
    <xf numFmtId="0" fontId="38" fillId="0" borderId="405" xfId="0" applyFont="1" applyFill="1" applyBorder="1" applyAlignment="1">
      <alignment horizontal="left" vertical="center" wrapText="1"/>
    </xf>
    <xf numFmtId="0" fontId="38" fillId="0" borderId="405" xfId="0" applyNumberFormat="1" applyFont="1" applyBorder="1"/>
    <xf numFmtId="0" fontId="38" fillId="0" borderId="405" xfId="0" applyFont="1" applyBorder="1"/>
    <xf numFmtId="170" fontId="38" fillId="0" borderId="0" xfId="0" applyNumberFormat="1" applyFont="1"/>
    <xf numFmtId="0" fontId="38" fillId="49" borderId="0" xfId="0" applyFont="1" applyFill="1" applyAlignment="1">
      <alignment horizontal="center"/>
    </xf>
    <xf numFmtId="0" fontId="38" fillId="49" borderId="0" xfId="0" applyFont="1" applyFill="1"/>
    <xf numFmtId="0" fontId="38" fillId="49" borderId="0" xfId="0" applyNumberFormat="1" applyFont="1" applyFill="1"/>
    <xf numFmtId="170" fontId="38" fillId="49" borderId="0" xfId="0" applyNumberFormat="1" applyFont="1" applyFill="1"/>
    <xf numFmtId="0" fontId="42" fillId="25" borderId="408" xfId="3" applyFont="1" applyFill="1" applyBorder="1" applyAlignment="1">
      <alignment horizontal="left" vertical="center" wrapText="1"/>
    </xf>
    <xf numFmtId="0" fontId="38" fillId="0" borderId="236" xfId="0" applyFont="1" applyFill="1" applyBorder="1" applyAlignment="1">
      <alignment wrapText="1"/>
    </xf>
    <xf numFmtId="0" fontId="38" fillId="0" borderId="405" xfId="0" applyFont="1" applyBorder="1" applyAlignment="1">
      <alignment horizontal="left" vertical="center" wrapText="1"/>
    </xf>
    <xf numFmtId="0" fontId="42" fillId="0" borderId="358" xfId="3" applyFont="1" applyFill="1" applyBorder="1" applyAlignment="1">
      <alignment horizontal="left" vertical="center" wrapText="1"/>
    </xf>
    <xf numFmtId="0" fontId="38" fillId="0" borderId="236" xfId="0" applyFont="1" applyBorder="1" applyAlignment="1">
      <alignment wrapText="1"/>
    </xf>
    <xf numFmtId="0" fontId="42" fillId="0" borderId="411" xfId="3" applyFont="1" applyBorder="1" applyAlignment="1"/>
    <xf numFmtId="0" fontId="42" fillId="0" borderId="412" xfId="3" applyFont="1" applyBorder="1" applyAlignment="1"/>
    <xf numFmtId="0" fontId="42" fillId="0" borderId="412" xfId="3" applyFont="1" applyFill="1" applyBorder="1" applyAlignment="1"/>
    <xf numFmtId="0" fontId="39" fillId="49" borderId="0" xfId="0" applyFont="1" applyFill="1"/>
    <xf numFmtId="0" fontId="39" fillId="0" borderId="0" xfId="0" applyNumberFormat="1" applyFont="1"/>
    <xf numFmtId="0" fontId="42" fillId="0" borderId="408" xfId="3" applyFont="1" applyFill="1" applyBorder="1" applyAlignment="1">
      <alignment horizontal="left" vertical="center" wrapText="1"/>
    </xf>
    <xf numFmtId="0" fontId="42" fillId="0" borderId="409" xfId="3" applyFont="1" applyFill="1" applyBorder="1" applyAlignment="1">
      <alignment horizontal="left" vertical="center" wrapText="1"/>
    </xf>
    <xf numFmtId="0" fontId="38" fillId="0" borderId="238" xfId="0" applyFont="1" applyBorder="1" applyAlignment="1">
      <alignment wrapText="1"/>
    </xf>
    <xf numFmtId="170" fontId="38" fillId="0" borderId="13" xfId="0" applyNumberFormat="1" applyFont="1" applyBorder="1" applyAlignment="1">
      <alignment wrapText="1"/>
    </xf>
    <xf numFmtId="0" fontId="38" fillId="0" borderId="14" xfId="0" applyNumberFormat="1" applyFont="1" applyBorder="1" applyAlignment="1">
      <alignment wrapText="1"/>
    </xf>
    <xf numFmtId="0" fontId="38" fillId="0" borderId="112" xfId="0" applyFont="1" applyBorder="1"/>
    <xf numFmtId="0" fontId="38" fillId="0" borderId="113" xfId="0" applyFont="1" applyBorder="1"/>
    <xf numFmtId="0" fontId="38" fillId="0" borderId="247" xfId="0" applyFont="1" applyBorder="1"/>
    <xf numFmtId="0" fontId="38" fillId="0" borderId="238" xfId="0" applyFont="1" applyBorder="1" applyAlignment="1">
      <alignment vertical="center"/>
    </xf>
    <xf numFmtId="2" fontId="38" fillId="0" borderId="14" xfId="0" applyNumberFormat="1" applyFont="1" applyFill="1" applyBorder="1" applyAlignment="1">
      <alignment horizontal="right"/>
    </xf>
    <xf numFmtId="164" fontId="38" fillId="0" borderId="0" xfId="0" applyNumberFormat="1" applyFont="1" applyBorder="1"/>
    <xf numFmtId="0" fontId="38" fillId="0" borderId="116" xfId="0" applyFont="1" applyFill="1" applyBorder="1" applyAlignment="1">
      <alignment wrapText="1"/>
    </xf>
    <xf numFmtId="0" fontId="38" fillId="0" borderId="163" xfId="0" applyFont="1" applyFill="1" applyBorder="1"/>
    <xf numFmtId="0" fontId="38" fillId="0" borderId="155" xfId="0" applyNumberFormat="1" applyFont="1" applyFill="1" applyBorder="1"/>
    <xf numFmtId="9" fontId="38" fillId="0" borderId="362" xfId="0" applyNumberFormat="1" applyFont="1" applyFill="1" applyBorder="1"/>
    <xf numFmtId="0" fontId="38" fillId="0" borderId="238" xfId="0" applyFont="1" applyBorder="1"/>
    <xf numFmtId="2" fontId="38" fillId="0" borderId="14" xfId="0" applyNumberFormat="1" applyFont="1" applyBorder="1" applyAlignment="1">
      <alignment horizontal="right"/>
    </xf>
    <xf numFmtId="9" fontId="38" fillId="0" borderId="0" xfId="0" applyNumberFormat="1" applyFont="1" applyBorder="1"/>
    <xf numFmtId="0" fontId="38" fillId="0" borderId="116" xfId="0" applyFont="1" applyFill="1" applyBorder="1"/>
    <xf numFmtId="0" fontId="38" fillId="0" borderId="241" xfId="0" applyFont="1" applyFill="1" applyBorder="1"/>
    <xf numFmtId="0" fontId="38" fillId="8" borderId="407" xfId="0" applyNumberFormat="1" applyFont="1" applyFill="1" applyBorder="1" applyAlignment="1">
      <alignment horizontal="center"/>
    </xf>
    <xf numFmtId="0" fontId="38" fillId="0" borderId="159" xfId="0" applyNumberFormat="1" applyFont="1" applyFill="1" applyBorder="1"/>
    <xf numFmtId="0" fontId="38" fillId="0" borderId="13" xfId="0" applyNumberFormat="1" applyFont="1" applyBorder="1"/>
    <xf numFmtId="170" fontId="38" fillId="0" borderId="14" xfId="0" applyNumberFormat="1" applyFont="1" applyBorder="1"/>
    <xf numFmtId="0" fontId="38" fillId="0" borderId="237" xfId="0" applyFont="1" applyBorder="1"/>
    <xf numFmtId="0" fontId="38" fillId="0" borderId="162" xfId="0" applyNumberFormat="1" applyFont="1" applyBorder="1"/>
    <xf numFmtId="170" fontId="38" fillId="0" borderId="160" xfId="0" applyNumberFormat="1" applyFont="1" applyBorder="1"/>
    <xf numFmtId="0" fontId="38" fillId="0" borderId="117" xfId="0" applyFont="1" applyBorder="1"/>
    <xf numFmtId="0" fontId="38" fillId="0" borderId="118" xfId="0" applyNumberFormat="1" applyFont="1" applyBorder="1"/>
    <xf numFmtId="170" fontId="38" fillId="0" borderId="15" xfId="0" applyNumberFormat="1" applyFont="1" applyBorder="1"/>
    <xf numFmtId="0" fontId="38" fillId="0" borderId="118" xfId="0" applyFont="1" applyBorder="1"/>
    <xf numFmtId="0" fontId="38" fillId="0" borderId="0" xfId="0" applyNumberFormat="1" applyFont="1" applyBorder="1"/>
    <xf numFmtId="0" fontId="38" fillId="0" borderId="114" xfId="0" applyFont="1" applyBorder="1"/>
    <xf numFmtId="0" fontId="38" fillId="0" borderId="368" xfId="0" applyFont="1" applyBorder="1"/>
    <xf numFmtId="0" fontId="38" fillId="0" borderId="157" xfId="0" applyNumberFormat="1" applyFont="1" applyBorder="1"/>
    <xf numFmtId="9" fontId="38" fillId="0" borderId="115" xfId="0" applyNumberFormat="1" applyFont="1" applyBorder="1"/>
    <xf numFmtId="0" fontId="38" fillId="0" borderId="116" xfId="0" applyFont="1" applyBorder="1"/>
    <xf numFmtId="0" fontId="38" fillId="0" borderId="163" xfId="0" applyFont="1" applyBorder="1"/>
    <xf numFmtId="9" fontId="38" fillId="0" borderId="14" xfId="0" applyNumberFormat="1" applyFont="1" applyBorder="1"/>
    <xf numFmtId="0" fontId="38" fillId="0" borderId="161" xfId="0" applyFont="1" applyBorder="1"/>
    <xf numFmtId="9" fontId="38" fillId="0" borderId="15" xfId="0" applyNumberFormat="1" applyFont="1" applyBorder="1"/>
    <xf numFmtId="172" fontId="39" fillId="0" borderId="115" xfId="0" applyNumberFormat="1" applyFont="1" applyFill="1" applyBorder="1"/>
    <xf numFmtId="164" fontId="38" fillId="0" borderId="14" xfId="0" applyNumberFormat="1" applyFont="1" applyBorder="1"/>
    <xf numFmtId="164" fontId="45" fillId="0" borderId="14" xfId="0" applyNumberFormat="1" applyFont="1" applyBorder="1"/>
    <xf numFmtId="164" fontId="38" fillId="0" borderId="14" xfId="0" applyNumberFormat="1" applyFont="1" applyFill="1" applyBorder="1"/>
    <xf numFmtId="174" fontId="38" fillId="0" borderId="14" xfId="0" applyNumberFormat="1" applyFont="1" applyBorder="1"/>
    <xf numFmtId="164" fontId="38" fillId="0" borderId="15" xfId="0" applyNumberFormat="1" applyFont="1" applyBorder="1"/>
    <xf numFmtId="0" fontId="46" fillId="0" borderId="0" xfId="0" applyFont="1" applyFill="1"/>
    <xf numFmtId="0" fontId="47" fillId="0" borderId="0" xfId="0" applyFont="1" applyFill="1"/>
    <xf numFmtId="0" fontId="38" fillId="8" borderId="421" xfId="0" applyFont="1" applyFill="1" applyBorder="1" applyAlignment="1">
      <alignment horizontal="center" vertical="center" wrapText="1"/>
    </xf>
    <xf numFmtId="0" fontId="38" fillId="8" borderId="422" xfId="0" applyFont="1" applyFill="1" applyBorder="1" applyAlignment="1">
      <alignment horizontal="center" vertical="center" wrapText="1"/>
    </xf>
    <xf numFmtId="0" fontId="38" fillId="8" borderId="158" xfId="0" applyNumberFormat="1" applyFont="1" applyFill="1" applyBorder="1" applyAlignment="1">
      <alignment horizontal="center" vertical="center" wrapText="1"/>
    </xf>
    <xf numFmtId="0" fontId="38" fillId="8" borderId="15" xfId="0" applyFont="1" applyFill="1" applyBorder="1" applyAlignment="1">
      <alignment horizontal="center" vertical="center" wrapText="1"/>
    </xf>
    <xf numFmtId="0" fontId="38" fillId="0" borderId="156" xfId="0" applyNumberFormat="1" applyFont="1" applyFill="1" applyBorder="1"/>
    <xf numFmtId="170" fontId="38" fillId="0" borderId="13" xfId="0" applyNumberFormat="1" applyFont="1" applyBorder="1"/>
    <xf numFmtId="170" fontId="38" fillId="0" borderId="162" xfId="0" applyNumberFormat="1" applyFont="1" applyBorder="1"/>
    <xf numFmtId="0" fontId="38" fillId="0" borderId="117" xfId="0" applyFont="1" applyFill="1" applyBorder="1" applyAlignment="1"/>
    <xf numFmtId="0" fontId="38" fillId="0" borderId="118" xfId="0" applyNumberFormat="1" applyFont="1" applyFill="1" applyBorder="1" applyAlignment="1"/>
    <xf numFmtId="0" fontId="38" fillId="0" borderId="118" xfId="0" applyFont="1" applyFill="1" applyBorder="1" applyAlignment="1"/>
    <xf numFmtId="0" fontId="38" fillId="0" borderId="158" xfId="0" applyNumberFormat="1" applyFont="1" applyBorder="1"/>
    <xf numFmtId="174" fontId="38" fillId="0" borderId="14" xfId="0" applyNumberFormat="1" applyFont="1" applyFill="1" applyBorder="1"/>
    <xf numFmtId="164" fontId="38" fillId="0" borderId="15" xfId="0" applyNumberFormat="1" applyFont="1" applyFill="1" applyBorder="1"/>
    <xf numFmtId="164" fontId="38" fillId="0" borderId="0" xfId="0" applyNumberFormat="1" applyFont="1"/>
    <xf numFmtId="0" fontId="38" fillId="0" borderId="238" xfId="0" applyFont="1" applyFill="1" applyBorder="1"/>
    <xf numFmtId="0" fontId="38" fillId="0" borderId="13" xfId="0" applyNumberFormat="1" applyFont="1" applyFill="1" applyBorder="1"/>
    <xf numFmtId="170" fontId="38" fillId="0" borderId="13" xfId="0" applyNumberFormat="1" applyFont="1" applyFill="1" applyBorder="1"/>
    <xf numFmtId="170" fontId="38" fillId="0" borderId="162" xfId="0" applyNumberFormat="1" applyFont="1" applyFill="1" applyBorder="1"/>
    <xf numFmtId="175" fontId="38" fillId="0" borderId="15" xfId="0" applyNumberFormat="1" applyFont="1" applyBorder="1"/>
    <xf numFmtId="2" fontId="38" fillId="0" borderId="0" xfId="0" applyNumberFormat="1" applyFont="1"/>
    <xf numFmtId="164" fontId="38" fillId="0" borderId="0" xfId="0" applyNumberFormat="1" applyFont="1" applyFill="1" applyBorder="1"/>
    <xf numFmtId="2" fontId="38" fillId="0" borderId="14" xfId="0" applyNumberFormat="1" applyFont="1" applyBorder="1"/>
    <xf numFmtId="2" fontId="38" fillId="0" borderId="14" xfId="0" applyNumberFormat="1" applyFont="1" applyFill="1" applyBorder="1"/>
    <xf numFmtId="2" fontId="38" fillId="0" borderId="15" xfId="0" applyNumberFormat="1" applyFont="1" applyFill="1" applyBorder="1"/>
    <xf numFmtId="0" fontId="38" fillId="0" borderId="0" xfId="0" applyNumberFormat="1" applyFont="1" applyFill="1" applyBorder="1"/>
    <xf numFmtId="9" fontId="38" fillId="0" borderId="0" xfId="0" applyNumberFormat="1" applyFont="1" applyFill="1" applyBorder="1"/>
    <xf numFmtId="0" fontId="38" fillId="0" borderId="239" xfId="0" applyNumberFormat="1" applyFont="1" applyFill="1" applyBorder="1"/>
    <xf numFmtId="9" fontId="38" fillId="0" borderId="364" xfId="0" applyNumberFormat="1" applyFont="1" applyFill="1" applyBorder="1"/>
    <xf numFmtId="0" fontId="38" fillId="0" borderId="273" xfId="0" applyFont="1" applyBorder="1"/>
    <xf numFmtId="0" fontId="38" fillId="0" borderId="273" xfId="0" applyNumberFormat="1" applyFont="1" applyBorder="1"/>
    <xf numFmtId="164" fontId="38" fillId="0" borderId="0" xfId="0" applyNumberFormat="1" applyFont="1" applyFill="1" applyBorder="1" applyAlignment="1"/>
    <xf numFmtId="164" fontId="38" fillId="0" borderId="0" xfId="0" applyNumberFormat="1" applyFont="1" applyBorder="1" applyAlignment="1">
      <alignment horizontal="left"/>
    </xf>
    <xf numFmtId="0" fontId="39" fillId="8" borderId="114" xfId="0" applyFont="1" applyFill="1" applyBorder="1"/>
    <xf numFmtId="0" fontId="38" fillId="8" borderId="167" xfId="0" applyNumberFormat="1" applyFont="1" applyFill="1" applyBorder="1" applyAlignment="1">
      <alignment horizontal="center"/>
    </xf>
    <xf numFmtId="0" fontId="38" fillId="8" borderId="167" xfId="0" applyFont="1" applyFill="1" applyBorder="1" applyAlignment="1">
      <alignment horizontal="center"/>
    </xf>
    <xf numFmtId="0" fontId="38" fillId="0" borderId="0" xfId="0" applyFont="1" applyFill="1"/>
    <xf numFmtId="0" fontId="48" fillId="0" borderId="0" xfId="3" applyFont="1" applyAlignment="1"/>
    <xf numFmtId="0" fontId="48" fillId="0" borderId="238" xfId="3" applyFont="1" applyBorder="1" applyAlignment="1"/>
    <xf numFmtId="0" fontId="48" fillId="0" borderId="13" xfId="3" applyFont="1" applyBorder="1" applyAlignment="1">
      <alignment horizontal="center"/>
    </xf>
    <xf numFmtId="0" fontId="48" fillId="0" borderId="14" xfId="3" applyFont="1" applyBorder="1" applyAlignment="1"/>
    <xf numFmtId="0" fontId="48" fillId="0" borderId="114" xfId="3" applyFont="1" applyBorder="1" applyAlignment="1"/>
    <xf numFmtId="170" fontId="48" fillId="0" borderId="114" xfId="3" applyNumberFormat="1" applyFont="1" applyBorder="1" applyAlignment="1"/>
    <xf numFmtId="170" fontId="48" fillId="0" borderId="115" xfId="3" applyNumberFormat="1" applyFont="1" applyBorder="1" applyAlignment="1"/>
    <xf numFmtId="170" fontId="48" fillId="0" borderId="0" xfId="3" applyNumberFormat="1" applyFont="1" applyAlignment="1"/>
    <xf numFmtId="0" fontId="48" fillId="0" borderId="117" xfId="3" applyFont="1" applyBorder="1" applyAlignment="1"/>
    <xf numFmtId="170" fontId="48" fillId="0" borderId="117" xfId="3" applyNumberFormat="1" applyFont="1" applyBorder="1" applyAlignment="1"/>
    <xf numFmtId="170" fontId="48" fillId="0" borderId="15" xfId="3" applyNumberFormat="1" applyFont="1" applyBorder="1" applyAlignment="1"/>
    <xf numFmtId="0" fontId="48" fillId="0" borderId="238" xfId="0" applyFont="1" applyBorder="1"/>
    <xf numFmtId="0" fontId="48" fillId="0" borderId="13" xfId="0" applyFont="1" applyBorder="1" applyAlignment="1">
      <alignment horizontal="center"/>
    </xf>
    <xf numFmtId="0" fontId="48" fillId="0" borderId="14" xfId="0" applyFont="1" applyBorder="1"/>
    <xf numFmtId="9" fontId="48" fillId="0" borderId="13" xfId="12" applyFont="1" applyBorder="1" applyAlignment="1">
      <alignment horizontal="center"/>
    </xf>
    <xf numFmtId="0" fontId="48" fillId="0" borderId="241" xfId="3" applyFont="1" applyBorder="1" applyAlignment="1"/>
    <xf numFmtId="0" fontId="48" fillId="0" borderId="242" xfId="3" applyFont="1" applyBorder="1" applyAlignment="1">
      <alignment horizontal="center"/>
    </xf>
    <xf numFmtId="0" fontId="48" fillId="0" borderId="15" xfId="0" applyFont="1" applyBorder="1"/>
    <xf numFmtId="0" fontId="43" fillId="0" borderId="401" xfId="3" applyFont="1" applyBorder="1" applyAlignment="1">
      <alignment horizontal="left" vertical="center"/>
    </xf>
    <xf numFmtId="169" fontId="43" fillId="0" borderId="9" xfId="14" applyFont="1" applyBorder="1" applyAlignment="1">
      <alignment horizontal="left" vertical="center"/>
    </xf>
    <xf numFmtId="0" fontId="38" fillId="0" borderId="9" xfId="0" applyFont="1" applyBorder="1" applyAlignment="1">
      <alignment horizontal="left" vertical="center" wrapText="1"/>
    </xf>
    <xf numFmtId="0" fontId="43" fillId="0" borderId="401" xfId="3" applyFont="1" applyFill="1" applyBorder="1" applyAlignment="1">
      <alignment horizontal="left" vertical="center"/>
    </xf>
    <xf numFmtId="0" fontId="38" fillId="0" borderId="9" xfId="0" applyFont="1" applyFill="1" applyBorder="1" applyAlignment="1">
      <alignment horizontal="left" vertical="center" wrapText="1"/>
    </xf>
    <xf numFmtId="0" fontId="43" fillId="0" borderId="404" xfId="3" applyFont="1" applyBorder="1" applyAlignment="1">
      <alignment horizontal="left" vertical="center"/>
    </xf>
    <xf numFmtId="169" fontId="43" fillId="0" borderId="405" xfId="14" applyFont="1" applyBorder="1" applyAlignment="1">
      <alignment horizontal="left" vertical="center"/>
    </xf>
    <xf numFmtId="180" fontId="48" fillId="0" borderId="113" xfId="3" applyNumberFormat="1" applyFont="1" applyFill="1" applyBorder="1" applyAlignment="1"/>
    <xf numFmtId="180" fontId="38" fillId="0" borderId="16" xfId="6" applyNumberFormat="1" applyFont="1" applyFill="1" applyBorder="1"/>
    <xf numFmtId="4" fontId="43" fillId="0" borderId="0" xfId="1" applyNumberFormat="1" applyFont="1"/>
    <xf numFmtId="4" fontId="43" fillId="0" borderId="116" xfId="1" applyNumberFormat="1" applyFont="1" applyBorder="1" applyAlignment="1"/>
    <xf numFmtId="9" fontId="43" fillId="0" borderId="14" xfId="1" applyNumberFormat="1" applyFont="1" applyBorder="1" applyAlignment="1"/>
    <xf numFmtId="4" fontId="43" fillId="0" borderId="0" xfId="1" applyNumberFormat="1" applyFont="1" applyFill="1" applyBorder="1" applyAlignment="1"/>
    <xf numFmtId="4" fontId="43" fillId="0" borderId="0" xfId="1" applyNumberFormat="1" applyFont="1" applyFill="1" applyBorder="1"/>
    <xf numFmtId="4" fontId="43" fillId="0" borderId="117" xfId="1" applyNumberFormat="1" applyFont="1" applyFill="1" applyBorder="1" applyAlignment="1"/>
    <xf numFmtId="0" fontId="38" fillId="0" borderId="169" xfId="0" applyFont="1" applyBorder="1"/>
    <xf numFmtId="4" fontId="43" fillId="0" borderId="171" xfId="1" applyNumberFormat="1" applyFont="1" applyFill="1" applyBorder="1" applyAlignment="1"/>
    <xf numFmtId="4" fontId="43" fillId="0" borderId="171" xfId="1" applyNumberFormat="1" applyFont="1" applyBorder="1"/>
    <xf numFmtId="0" fontId="38" fillId="0" borderId="171" xfId="0" applyFont="1" applyBorder="1"/>
    <xf numFmtId="4" fontId="43" fillId="0" borderId="278" xfId="1" applyNumberFormat="1" applyFont="1" applyBorder="1" applyAlignment="1"/>
    <xf numFmtId="3" fontId="43" fillId="0" borderId="279" xfId="1" applyNumberFormat="1" applyFont="1" applyBorder="1"/>
    <xf numFmtId="180" fontId="43" fillId="0" borderId="14" xfId="1" applyNumberFormat="1" applyFont="1" applyBorder="1"/>
    <xf numFmtId="4" fontId="43" fillId="0" borderId="278" xfId="1" applyNumberFormat="1" applyFont="1" applyFill="1" applyBorder="1" applyAlignment="1"/>
    <xf numFmtId="167" fontId="43" fillId="0" borderId="279" xfId="1" applyNumberFormat="1" applyFont="1" applyFill="1" applyBorder="1"/>
    <xf numFmtId="3" fontId="43" fillId="0" borderId="279" xfId="1" applyNumberFormat="1" applyFont="1" applyFill="1" applyBorder="1"/>
    <xf numFmtId="4" fontId="43" fillId="0" borderId="280" xfId="1" applyNumberFormat="1" applyFont="1" applyBorder="1" applyAlignment="1"/>
    <xf numFmtId="3" fontId="43" fillId="0" borderId="281" xfId="1" applyNumberFormat="1" applyFont="1" applyBorder="1"/>
    <xf numFmtId="4" fontId="43" fillId="0" borderId="280" xfId="1" applyNumberFormat="1" applyFont="1" applyBorder="1" applyAlignment="1">
      <alignment horizontal="right"/>
    </xf>
    <xf numFmtId="4" fontId="43" fillId="0" borderId="176" xfId="1" applyNumberFormat="1" applyFont="1" applyFill="1" applyBorder="1" applyAlignment="1"/>
    <xf numFmtId="0" fontId="48" fillId="0" borderId="0" xfId="1" applyFont="1" applyAlignment="1"/>
    <xf numFmtId="4" fontId="43" fillId="0" borderId="279" xfId="1" applyNumberFormat="1" applyFont="1" applyBorder="1"/>
    <xf numFmtId="4" fontId="43" fillId="0" borderId="278" xfId="1" applyNumberFormat="1" applyFont="1" applyBorder="1"/>
    <xf numFmtId="175" fontId="43" fillId="0" borderId="279" xfId="1" applyNumberFormat="1" applyFont="1" applyBorder="1"/>
    <xf numFmtId="4" fontId="43" fillId="0" borderId="116" xfId="1" applyNumberFormat="1" applyFont="1" applyFill="1" applyBorder="1" applyAlignment="1"/>
    <xf numFmtId="175" fontId="43" fillId="0" borderId="14" xfId="1" applyNumberFormat="1" applyFont="1" applyFill="1" applyBorder="1"/>
    <xf numFmtId="175" fontId="43" fillId="0" borderId="14" xfId="1" applyNumberFormat="1" applyFont="1" applyBorder="1"/>
    <xf numFmtId="4" fontId="43" fillId="0" borderId="281" xfId="1" applyNumberFormat="1" applyFont="1" applyBorder="1"/>
    <xf numFmtId="10" fontId="43" fillId="0" borderId="14" xfId="1" applyNumberFormat="1" applyFont="1" applyBorder="1"/>
    <xf numFmtId="4" fontId="43" fillId="0" borderId="117" xfId="1" applyNumberFormat="1" applyFont="1" applyBorder="1" applyAlignment="1"/>
    <xf numFmtId="4" fontId="43" fillId="0" borderId="15" xfId="1" applyNumberFormat="1" applyFont="1" applyBorder="1"/>
    <xf numFmtId="4" fontId="43" fillId="0" borderId="0" xfId="1" applyNumberFormat="1" applyFont="1" applyBorder="1"/>
    <xf numFmtId="0" fontId="43" fillId="0" borderId="0" xfId="1" applyFont="1" applyFill="1" applyBorder="1" applyAlignment="1">
      <alignment horizontal="center" vertical="center" wrapText="1"/>
    </xf>
    <xf numFmtId="44" fontId="48" fillId="0" borderId="0" xfId="13" applyFont="1" applyBorder="1" applyAlignment="1"/>
    <xf numFmtId="169" fontId="48" fillId="0" borderId="0" xfId="6" applyFont="1" applyBorder="1" applyAlignment="1"/>
    <xf numFmtId="183" fontId="43" fillId="0" borderId="0" xfId="1" applyNumberFormat="1" applyFont="1" applyBorder="1"/>
    <xf numFmtId="3" fontId="43" fillId="0" borderId="0" xfId="1" quotePrefix="1" applyNumberFormat="1" applyFont="1" applyBorder="1"/>
    <xf numFmtId="3" fontId="43" fillId="0" borderId="0" xfId="1" applyNumberFormat="1" applyFont="1" applyBorder="1"/>
    <xf numFmtId="180" fontId="43" fillId="0" borderId="0" xfId="1" applyNumberFormat="1" applyFont="1" applyBorder="1"/>
    <xf numFmtId="0" fontId="43" fillId="0" borderId="411" xfId="3" applyFont="1" applyBorder="1" applyAlignment="1">
      <alignment horizontal="left" vertical="center"/>
    </xf>
    <xf numFmtId="0" fontId="43" fillId="0" borderId="412" xfId="3" applyFont="1" applyBorder="1" applyAlignment="1"/>
    <xf numFmtId="168" fontId="38" fillId="0" borderId="0" xfId="0" applyNumberFormat="1" applyFont="1"/>
    <xf numFmtId="0" fontId="43" fillId="0" borderId="412" xfId="3" applyFont="1" applyFill="1" applyBorder="1" applyAlignment="1"/>
    <xf numFmtId="0" fontId="43" fillId="0" borderId="413" xfId="3" applyFont="1" applyBorder="1" applyAlignment="1"/>
    <xf numFmtId="44" fontId="48" fillId="0" borderId="118" xfId="13" applyFont="1" applyBorder="1" applyAlignment="1"/>
    <xf numFmtId="169" fontId="48" fillId="0" borderId="118" xfId="6" applyFont="1" applyBorder="1" applyAlignment="1"/>
    <xf numFmtId="183" fontId="43" fillId="0" borderId="118" xfId="1" applyNumberFormat="1" applyFont="1" applyBorder="1"/>
    <xf numFmtId="4" fontId="43" fillId="0" borderId="118" xfId="1" applyNumberFormat="1" applyFont="1" applyBorder="1"/>
    <xf numFmtId="3" fontId="43" fillId="0" borderId="118" xfId="1" quotePrefix="1" applyNumberFormat="1" applyFont="1" applyBorder="1"/>
    <xf numFmtId="3" fontId="43" fillId="0" borderId="118" xfId="1" applyNumberFormat="1" applyFont="1" applyBorder="1"/>
    <xf numFmtId="180" fontId="43" fillId="0" borderId="118" xfId="1" applyNumberFormat="1" applyFont="1" applyBorder="1"/>
    <xf numFmtId="0" fontId="43" fillId="0" borderId="0" xfId="1" applyFont="1" applyBorder="1" applyAlignment="1"/>
    <xf numFmtId="4" fontId="48" fillId="0" borderId="0" xfId="1" applyNumberFormat="1" applyFont="1" applyBorder="1" applyAlignment="1"/>
    <xf numFmtId="4" fontId="48" fillId="0" borderId="0" xfId="1" applyNumberFormat="1" applyFont="1" applyAlignment="1"/>
    <xf numFmtId="4" fontId="48" fillId="0" borderId="0" xfId="1" applyNumberFormat="1" applyFont="1"/>
    <xf numFmtId="0" fontId="43" fillId="0" borderId="171" xfId="1" applyFont="1" applyBorder="1" applyAlignment="1"/>
    <xf numFmtId="4" fontId="48" fillId="0" borderId="171" xfId="1" applyNumberFormat="1" applyFont="1" applyBorder="1" applyAlignment="1"/>
    <xf numFmtId="4" fontId="48" fillId="0" borderId="171" xfId="1" applyNumberFormat="1" applyFont="1" applyBorder="1"/>
    <xf numFmtId="175" fontId="43" fillId="0" borderId="279" xfId="1" applyNumberFormat="1" applyFont="1" applyFill="1" applyBorder="1"/>
    <xf numFmtId="3" fontId="43" fillId="0" borderId="279" xfId="0" applyNumberFormat="1" applyFont="1" applyBorder="1"/>
    <xf numFmtId="10" fontId="43" fillId="0" borderId="279" xfId="1" applyNumberFormat="1" applyFont="1" applyBorder="1"/>
    <xf numFmtId="4" fontId="43" fillId="0" borderId="0" xfId="1" applyNumberFormat="1" applyFont="1" applyAlignment="1"/>
    <xf numFmtId="0" fontId="48" fillId="0" borderId="171" xfId="1" applyFont="1" applyBorder="1" applyAlignment="1"/>
    <xf numFmtId="167" fontId="43" fillId="0" borderId="279" xfId="1" applyNumberFormat="1" applyFont="1" applyBorder="1"/>
    <xf numFmtId="180" fontId="43" fillId="0" borderId="0" xfId="1" applyNumberFormat="1" applyFont="1" applyFill="1" applyBorder="1"/>
    <xf numFmtId="3" fontId="43" fillId="0" borderId="0" xfId="1" applyNumberFormat="1" applyFont="1" applyFill="1" applyBorder="1"/>
    <xf numFmtId="3" fontId="43" fillId="0" borderId="14" xfId="1" applyNumberFormat="1" applyFont="1" applyFill="1" applyBorder="1"/>
    <xf numFmtId="3" fontId="43" fillId="0" borderId="118" xfId="1" applyNumberFormat="1" applyFont="1" applyFill="1" applyBorder="1"/>
    <xf numFmtId="3" fontId="43" fillId="0" borderId="15" xfId="1" applyNumberFormat="1" applyFont="1" applyFill="1" applyBorder="1"/>
    <xf numFmtId="0" fontId="44" fillId="8" borderId="415" xfId="3" applyFont="1" applyFill="1" applyBorder="1" applyAlignment="1">
      <alignment horizontal="center" vertical="center"/>
    </xf>
    <xf numFmtId="0" fontId="44" fillId="8" borderId="416" xfId="3" applyFont="1" applyFill="1" applyBorder="1" applyAlignment="1">
      <alignment horizontal="center" vertical="center"/>
    </xf>
    <xf numFmtId="0" fontId="44" fillId="8" borderId="249" xfId="3" applyFont="1" applyFill="1" applyBorder="1" applyAlignment="1">
      <alignment horizontal="center" vertical="center"/>
    </xf>
    <xf numFmtId="0" fontId="38" fillId="8" borderId="114" xfId="0" applyFont="1" applyFill="1" applyBorder="1"/>
    <xf numFmtId="0" fontId="38" fillId="8" borderId="115" xfId="0" applyFont="1" applyFill="1" applyBorder="1"/>
    <xf numFmtId="0" fontId="42" fillId="8" borderId="247" xfId="3" applyFont="1" applyFill="1" applyBorder="1" applyAlignment="1">
      <alignment horizontal="center" vertical="center" wrapText="1"/>
    </xf>
    <xf numFmtId="0" fontId="42" fillId="8" borderId="403" xfId="3" applyFont="1" applyFill="1" applyBorder="1" applyAlignment="1">
      <alignment horizontal="center" vertical="center" wrapText="1"/>
    </xf>
    <xf numFmtId="0" fontId="42" fillId="8" borderId="403" xfId="3" applyFont="1" applyFill="1" applyBorder="1" applyAlignment="1">
      <alignment horizontal="center" vertical="center"/>
    </xf>
    <xf numFmtId="0" fontId="42" fillId="8" borderId="369" xfId="3" applyFont="1" applyFill="1" applyBorder="1" applyAlignment="1">
      <alignment horizontal="center" vertical="center" wrapText="1"/>
    </xf>
    <xf numFmtId="0" fontId="9" fillId="0" borderId="161" xfId="0" applyFont="1" applyBorder="1"/>
    <xf numFmtId="0" fontId="43" fillId="8" borderId="407" xfId="1" applyFont="1" applyFill="1" applyBorder="1" applyAlignment="1">
      <alignment horizontal="center" vertical="center" wrapText="1"/>
    </xf>
    <xf numFmtId="0" fontId="43" fillId="8" borderId="365" xfId="1" applyFont="1" applyFill="1" applyBorder="1" applyAlignment="1">
      <alignment horizontal="center" vertical="center" wrapText="1"/>
    </xf>
    <xf numFmtId="0" fontId="43" fillId="8" borderId="167" xfId="1" applyFont="1" applyFill="1" applyBorder="1" applyAlignment="1">
      <alignment horizontal="center" vertical="center" wrapText="1"/>
    </xf>
    <xf numFmtId="0" fontId="42" fillId="8" borderId="17" xfId="1" applyFont="1" applyFill="1" applyBorder="1" applyAlignment="1">
      <alignment horizontal="center" vertical="center" wrapText="1"/>
    </xf>
    <xf numFmtId="10" fontId="38" fillId="0" borderId="16" xfId="0" applyNumberFormat="1" applyFont="1" applyBorder="1"/>
    <xf numFmtId="0" fontId="38" fillId="0" borderId="238" xfId="0" applyFont="1" applyBorder="1" applyAlignment="1">
      <alignment horizontal="left"/>
    </xf>
    <xf numFmtId="0" fontId="38" fillId="0" borderId="116" xfId="0" applyFont="1" applyBorder="1" applyAlignment="1">
      <alignment horizontal="left"/>
    </xf>
    <xf numFmtId="0" fontId="38" fillId="0" borderId="369" xfId="0" applyFont="1" applyBorder="1" applyAlignment="1">
      <alignment horizontal="right"/>
    </xf>
    <xf numFmtId="0" fontId="38" fillId="0" borderId="358" xfId="0" applyFont="1" applyBorder="1" applyAlignment="1">
      <alignment horizontal="left"/>
    </xf>
    <xf numFmtId="1" fontId="38" fillId="0" borderId="157" xfId="0" applyNumberFormat="1" applyFont="1" applyBorder="1" applyAlignment="1">
      <alignment horizontal="center"/>
    </xf>
    <xf numFmtId="1" fontId="38" fillId="0" borderId="115" xfId="0" applyNumberFormat="1" applyFont="1" applyBorder="1" applyAlignment="1">
      <alignment horizontal="center"/>
    </xf>
    <xf numFmtId="0" fontId="38" fillId="0" borderId="364" xfId="0" applyFont="1" applyBorder="1" applyAlignment="1">
      <alignment horizontal="right"/>
    </xf>
    <xf numFmtId="0" fontId="38" fillId="0" borderId="359" xfId="0" applyFont="1" applyBorder="1" applyAlignment="1">
      <alignment horizontal="left"/>
    </xf>
    <xf numFmtId="1" fontId="38" fillId="0" borderId="0" xfId="0" applyNumberFormat="1" applyFont="1" applyBorder="1" applyAlignment="1">
      <alignment horizontal="center"/>
    </xf>
    <xf numFmtId="1" fontId="38" fillId="0" borderId="14" xfId="0" applyNumberFormat="1" applyFont="1" applyBorder="1" applyAlignment="1">
      <alignment horizontal="center"/>
    </xf>
    <xf numFmtId="1" fontId="38" fillId="0" borderId="0" xfId="0" applyNumberFormat="1" applyFont="1" applyBorder="1" applyAlignment="1">
      <alignment horizontal="center" wrapText="1"/>
    </xf>
    <xf numFmtId="0" fontId="38" fillId="0" borderId="117" xfId="0" applyFont="1" applyBorder="1" applyAlignment="1">
      <alignment horizontal="left"/>
    </xf>
    <xf numFmtId="0" fontId="38" fillId="0" borderId="370" xfId="0" applyFont="1" applyBorder="1" applyAlignment="1">
      <alignment horizontal="right"/>
    </xf>
    <xf numFmtId="0" fontId="38" fillId="0" borderId="18" xfId="0" applyFont="1" applyBorder="1" applyAlignment="1">
      <alignment horizontal="left"/>
    </xf>
    <xf numFmtId="1" fontId="38" fillId="0" borderId="118" xfId="0" applyNumberFormat="1" applyFont="1" applyBorder="1" applyAlignment="1">
      <alignment horizontal="center"/>
    </xf>
    <xf numFmtId="1" fontId="38" fillId="0" borderId="15" xfId="0" applyNumberFormat="1" applyFont="1" applyBorder="1" applyAlignment="1">
      <alignment horizontal="center"/>
    </xf>
    <xf numFmtId="170" fontId="38" fillId="0" borderId="0" xfId="0" applyNumberFormat="1" applyFont="1" applyBorder="1"/>
    <xf numFmtId="166" fontId="38" fillId="0" borderId="0" xfId="0" applyNumberFormat="1" applyFont="1" applyBorder="1"/>
    <xf numFmtId="165" fontId="38" fillId="0" borderId="0" xfId="0" applyNumberFormat="1" applyFont="1" applyBorder="1"/>
    <xf numFmtId="170" fontId="39" fillId="0" borderId="0" xfId="0" applyNumberFormat="1" applyFont="1"/>
    <xf numFmtId="0" fontId="42" fillId="8" borderId="16" xfId="0" applyFont="1" applyFill="1" applyBorder="1" applyAlignment="1">
      <alignment horizontal="center" vertical="center"/>
    </xf>
    <xf numFmtId="0" fontId="48" fillId="0" borderId="0" xfId="1" applyFont="1" applyBorder="1" applyAlignment="1"/>
    <xf numFmtId="0" fontId="48" fillId="0" borderId="0" xfId="1" applyFont="1" applyAlignment="1">
      <alignment horizontal="right"/>
    </xf>
    <xf numFmtId="0" fontId="48" fillId="0" borderId="0" xfId="1" quotePrefix="1" applyFont="1" applyAlignment="1"/>
    <xf numFmtId="179" fontId="8" fillId="0" borderId="13" xfId="2" applyNumberFormat="1" applyFont="1" applyBorder="1"/>
    <xf numFmtId="0" fontId="8" fillId="0" borderId="239" xfId="0" applyFont="1" applyBorder="1" applyAlignment="1">
      <alignment horizontal="left" wrapText="1"/>
    </xf>
    <xf numFmtId="181" fontId="8" fillId="0" borderId="16" xfId="0" applyNumberFormat="1" applyFont="1" applyBorder="1"/>
    <xf numFmtId="0" fontId="38" fillId="0" borderId="400" xfId="0" applyFont="1" applyBorder="1"/>
    <xf numFmtId="0" fontId="38" fillId="0" borderId="383" xfId="0" applyFont="1" applyBorder="1"/>
    <xf numFmtId="0" fontId="38" fillId="0" borderId="363" xfId="0" applyFont="1" applyBorder="1"/>
    <xf numFmtId="0" fontId="38" fillId="0" borderId="401" xfId="0" applyFont="1" applyFill="1" applyBorder="1"/>
    <xf numFmtId="0" fontId="38" fillId="0" borderId="404" xfId="0" applyFont="1" applyFill="1" applyBorder="1"/>
    <xf numFmtId="0" fontId="38" fillId="0" borderId="406" xfId="0" applyFont="1" applyBorder="1"/>
    <xf numFmtId="170" fontId="38" fillId="0" borderId="239" xfId="0" applyNumberFormat="1" applyFont="1" applyBorder="1"/>
    <xf numFmtId="0" fontId="38" fillId="0" borderId="364" xfId="0" applyFont="1" applyBorder="1"/>
    <xf numFmtId="0" fontId="38" fillId="0" borderId="235" xfId="0" applyFont="1" applyBorder="1"/>
    <xf numFmtId="0" fontId="38" fillId="0" borderId="237" xfId="0" applyFont="1" applyFill="1" applyBorder="1"/>
    <xf numFmtId="0" fontId="38" fillId="0" borderId="123" xfId="0" applyFont="1" applyBorder="1"/>
    <xf numFmtId="184" fontId="38" fillId="0" borderId="365" xfId="0" applyNumberFormat="1" applyFont="1" applyBorder="1"/>
    <xf numFmtId="0" fontId="43" fillId="0" borderId="9" xfId="3" applyFont="1" applyBorder="1" applyAlignment="1">
      <alignment horizontal="left" vertical="center" wrapText="1"/>
    </xf>
    <xf numFmtId="0" fontId="43" fillId="0" borderId="405" xfId="3" applyFont="1" applyBorder="1" applyAlignment="1">
      <alignment horizontal="left" vertical="center" wrapText="1"/>
    </xf>
    <xf numFmtId="0" fontId="38" fillId="0" borderId="123" xfId="0" applyFont="1" applyFill="1" applyBorder="1"/>
    <xf numFmtId="0" fontId="38" fillId="0" borderId="407" xfId="0" applyFont="1" applyFill="1" applyBorder="1"/>
    <xf numFmtId="0" fontId="38" fillId="0" borderId="365" xfId="0" applyFont="1" applyFill="1" applyBorder="1"/>
    <xf numFmtId="169" fontId="43" fillId="0" borderId="9" xfId="14" applyFont="1" applyBorder="1" applyAlignment="1">
      <alignment vertical="center" wrapText="1"/>
    </xf>
    <xf numFmtId="169" fontId="43" fillId="0" borderId="9" xfId="14" quotePrefix="1" applyFont="1" applyBorder="1" applyAlignment="1">
      <alignment vertical="center" wrapText="1"/>
    </xf>
    <xf numFmtId="169" fontId="43" fillId="0" borderId="9" xfId="14" applyFont="1" applyFill="1" applyBorder="1" applyAlignment="1">
      <alignment vertical="center" wrapText="1"/>
    </xf>
    <xf numFmtId="169" fontId="43" fillId="0" borderId="405" xfId="14" applyFont="1" applyBorder="1" applyAlignment="1">
      <alignment vertical="center" wrapText="1"/>
    </xf>
    <xf numFmtId="180" fontId="43" fillId="0" borderId="9" xfId="14" applyNumberFormat="1" applyFont="1" applyBorder="1" applyAlignment="1">
      <alignment vertical="center"/>
    </xf>
    <xf numFmtId="169" fontId="43" fillId="0" borderId="9" xfId="14" applyFont="1" applyBorder="1" applyAlignment="1">
      <alignment vertical="center"/>
    </xf>
    <xf numFmtId="180" fontId="38" fillId="0" borderId="402" xfId="6" applyNumberFormat="1" applyFont="1" applyBorder="1" applyAlignment="1">
      <alignment vertical="center"/>
    </xf>
    <xf numFmtId="180" fontId="43" fillId="0" borderId="405" xfId="14" applyNumberFormat="1" applyFont="1" applyBorder="1" applyAlignment="1">
      <alignment vertical="center"/>
    </xf>
    <xf numFmtId="169" fontId="43" fillId="0" borderId="405" xfId="14" applyFont="1" applyBorder="1" applyAlignment="1">
      <alignment vertical="center"/>
    </xf>
    <xf numFmtId="169" fontId="43" fillId="0" borderId="235" xfId="14" applyFont="1" applyBorder="1" applyAlignment="1">
      <alignment vertical="center"/>
    </xf>
    <xf numFmtId="180" fontId="43" fillId="0" borderId="235" xfId="14" applyNumberFormat="1" applyFont="1" applyBorder="1" applyAlignment="1">
      <alignment vertical="center"/>
    </xf>
    <xf numFmtId="180" fontId="38" fillId="0" borderId="363" xfId="6" applyNumberFormat="1" applyFont="1" applyBorder="1" applyAlignment="1">
      <alignment vertical="center"/>
    </xf>
    <xf numFmtId="0" fontId="38" fillId="0" borderId="407" xfId="0" applyFont="1" applyBorder="1"/>
    <xf numFmtId="0" fontId="38" fillId="0" borderId="365" xfId="0" applyFont="1" applyBorder="1"/>
    <xf numFmtId="1" fontId="38" fillId="0" borderId="236" xfId="0" applyNumberFormat="1" applyFont="1" applyBorder="1"/>
    <xf numFmtId="1" fontId="38" fillId="0" borderId="236" xfId="0" quotePrefix="1" applyNumberFormat="1" applyFont="1" applyBorder="1"/>
    <xf numFmtId="0" fontId="38" fillId="0" borderId="235" xfId="0" applyNumberFormat="1" applyFont="1" applyBorder="1"/>
    <xf numFmtId="0" fontId="38" fillId="0" borderId="0" xfId="0" applyFont="1" applyFill="1" applyBorder="1" applyAlignment="1"/>
    <xf numFmtId="0" fontId="44" fillId="8" borderId="17" xfId="0" applyFont="1" applyFill="1" applyBorder="1" applyAlignment="1">
      <alignment horizontal="center" vertical="center"/>
    </xf>
    <xf numFmtId="0" fontId="48" fillId="3" borderId="423" xfId="0" applyFont="1" applyFill="1" applyBorder="1" applyAlignment="1"/>
    <xf numFmtId="0" fontId="44" fillId="8" borderId="167" xfId="0" applyFont="1" applyFill="1" applyBorder="1" applyAlignment="1">
      <alignment horizontal="center" vertical="center"/>
    </xf>
    <xf numFmtId="169" fontId="48" fillId="0" borderId="424" xfId="6" applyFont="1" applyFill="1" applyBorder="1" applyAlignment="1">
      <alignment horizontal="right"/>
    </xf>
    <xf numFmtId="169" fontId="48" fillId="0" borderId="13" xfId="6" applyFont="1" applyFill="1" applyBorder="1" applyAlignment="1">
      <alignment horizontal="right"/>
    </xf>
    <xf numFmtId="175" fontId="48" fillId="0" borderId="13" xfId="6" applyNumberFormat="1" applyFont="1" applyFill="1" applyBorder="1" applyAlignment="1">
      <alignment horizontal="center" vertical="center"/>
    </xf>
    <xf numFmtId="175" fontId="48" fillId="0" borderId="13" xfId="6" applyNumberFormat="1" applyFont="1" applyFill="1" applyBorder="1" applyAlignment="1"/>
    <xf numFmtId="0" fontId="42" fillId="8" borderId="167" xfId="0" applyFont="1" applyFill="1" applyBorder="1" applyAlignment="1">
      <alignment horizontal="center" vertical="center"/>
    </xf>
    <xf numFmtId="0" fontId="13" fillId="0" borderId="7" xfId="1" applyFont="1" applyFill="1" applyBorder="1" applyAlignment="1"/>
    <xf numFmtId="0" fontId="9" fillId="0" borderId="10" xfId="0" applyFont="1" applyBorder="1"/>
    <xf numFmtId="0" fontId="11" fillId="0" borderId="7" xfId="1" applyFont="1" applyFill="1" applyBorder="1" applyAlignment="1">
      <alignment horizontal="left"/>
    </xf>
    <xf numFmtId="10" fontId="8" fillId="25" borderId="0" xfId="0" quotePrefix="1" applyNumberFormat="1" applyFont="1" applyFill="1"/>
    <xf numFmtId="10" fontId="38" fillId="0" borderId="0" xfId="0" applyNumberFormat="1" applyFont="1"/>
    <xf numFmtId="164" fontId="38" fillId="0" borderId="114" xfId="0" applyNumberFormat="1" applyFont="1" applyBorder="1"/>
    <xf numFmtId="164" fontId="38" fillId="0" borderId="116" xfId="0" applyNumberFormat="1" applyFont="1" applyBorder="1"/>
    <xf numFmtId="10" fontId="38" fillId="0" borderId="15" xfId="0" applyNumberFormat="1" applyFont="1" applyBorder="1"/>
    <xf numFmtId="0" fontId="38" fillId="0" borderId="14" xfId="0" applyFont="1" applyBorder="1"/>
    <xf numFmtId="0" fontId="38" fillId="0" borderId="115" xfId="0" applyFont="1" applyBorder="1"/>
    <xf numFmtId="164" fontId="38" fillId="0" borderId="117" xfId="0" applyNumberFormat="1" applyFont="1" applyBorder="1" applyAlignment="1">
      <alignment wrapText="1"/>
    </xf>
    <xf numFmtId="0" fontId="38" fillId="0" borderId="16" xfId="0" applyFont="1" applyBorder="1"/>
    <xf numFmtId="4" fontId="43" fillId="0" borderId="114" xfId="1" applyNumberFormat="1" applyFont="1" applyBorder="1" applyAlignment="1"/>
    <xf numFmtId="0" fontId="43" fillId="0" borderId="14" xfId="1" applyNumberFormat="1" applyFont="1" applyBorder="1" applyAlignment="1"/>
    <xf numFmtId="0" fontId="43" fillId="0" borderId="115" xfId="1" applyNumberFormat="1" applyFont="1" applyBorder="1" applyAlignment="1"/>
    <xf numFmtId="170" fontId="43" fillId="0" borderId="15" xfId="1" applyNumberFormat="1" applyFont="1" applyFill="1" applyBorder="1" applyAlignment="1"/>
    <xf numFmtId="165" fontId="38" fillId="0" borderId="14" xfId="0" applyNumberFormat="1" applyFont="1" applyBorder="1"/>
    <xf numFmtId="0" fontId="38" fillId="0" borderId="15" xfId="0" applyFont="1" applyBorder="1" applyAlignment="1">
      <alignment wrapText="1"/>
    </xf>
    <xf numFmtId="10" fontId="38" fillId="0" borderId="14" xfId="0" applyNumberFormat="1" applyFont="1" applyBorder="1"/>
    <xf numFmtId="166" fontId="38" fillId="49" borderId="0" xfId="0" applyNumberFormat="1" applyFont="1" applyFill="1" applyBorder="1"/>
    <xf numFmtId="0" fontId="38" fillId="49" borderId="0" xfId="0" applyFont="1" applyFill="1" applyBorder="1"/>
    <xf numFmtId="170" fontId="38" fillId="49" borderId="0" xfId="0" applyNumberFormat="1" applyFont="1" applyFill="1" applyBorder="1"/>
    <xf numFmtId="0" fontId="38" fillId="0" borderId="116" xfId="0" applyFont="1" applyBorder="1" applyAlignment="1">
      <alignment horizontal="left" indent="1"/>
    </xf>
    <xf numFmtId="0" fontId="9" fillId="0" borderId="112" xfId="0" applyFont="1" applyBorder="1" applyAlignment="1">
      <alignment wrapText="1"/>
    </xf>
    <xf numFmtId="9" fontId="38" fillId="0" borderId="239" xfId="0" applyNumberFormat="1" applyFont="1" applyBorder="1"/>
    <xf numFmtId="10" fontId="38" fillId="0" borderId="114" xfId="0" applyNumberFormat="1" applyFont="1" applyFill="1" applyBorder="1"/>
    <xf numFmtId="10" fontId="38" fillId="0" borderId="157" xfId="0" applyNumberFormat="1" applyFont="1" applyFill="1" applyBorder="1"/>
    <xf numFmtId="9" fontId="38" fillId="0" borderId="157" xfId="0" applyNumberFormat="1" applyFont="1" applyBorder="1"/>
    <xf numFmtId="181" fontId="38" fillId="0" borderId="117" xfId="0" applyNumberFormat="1" applyFont="1" applyFill="1" applyBorder="1"/>
    <xf numFmtId="10" fontId="38" fillId="0" borderId="116" xfId="0" applyNumberFormat="1" applyFont="1" applyBorder="1" applyAlignment="1">
      <alignment horizontal="left"/>
    </xf>
    <xf numFmtId="0" fontId="38" fillId="0" borderId="112" xfId="0" applyFont="1" applyBorder="1" applyAlignment="1">
      <alignment horizontal="left"/>
    </xf>
    <xf numFmtId="175" fontId="48" fillId="0" borderId="0" xfId="1" applyNumberFormat="1" applyFont="1" applyAlignment="1"/>
    <xf numFmtId="1" fontId="48" fillId="0" borderId="0" xfId="1" applyNumberFormat="1" applyFont="1" applyAlignment="1"/>
    <xf numFmtId="164" fontId="48" fillId="0" borderId="0" xfId="1" applyNumberFormat="1" applyFont="1" applyAlignment="1"/>
    <xf numFmtId="164" fontId="48" fillId="0" borderId="0" xfId="1" applyNumberFormat="1" applyFont="1" applyBorder="1" applyAlignment="1"/>
    <xf numFmtId="1" fontId="48" fillId="0" borderId="13" xfId="6" applyNumberFormat="1" applyFont="1" applyFill="1" applyBorder="1" applyAlignment="1">
      <alignment horizontal="right"/>
    </xf>
    <xf numFmtId="173" fontId="8" fillId="0" borderId="0" xfId="0" applyNumberFormat="1" applyFont="1"/>
    <xf numFmtId="0" fontId="8" fillId="0" borderId="116" xfId="0" applyFont="1" applyBorder="1"/>
    <xf numFmtId="10" fontId="8" fillId="0" borderId="14" xfId="0" applyNumberFormat="1" applyFont="1" applyBorder="1"/>
    <xf numFmtId="10" fontId="8" fillId="0" borderId="15" xfId="0" applyNumberFormat="1" applyFont="1" applyBorder="1"/>
    <xf numFmtId="10" fontId="8" fillId="0" borderId="115" xfId="0" applyNumberFormat="1" applyFont="1" applyBorder="1"/>
    <xf numFmtId="0" fontId="8" fillId="0" borderId="17" xfId="0" applyFont="1" applyBorder="1"/>
    <xf numFmtId="10" fontId="8" fillId="0" borderId="113" xfId="0" applyNumberFormat="1" applyFont="1" applyBorder="1"/>
    <xf numFmtId="10" fontId="8" fillId="0" borderId="16" xfId="0" applyNumberFormat="1" applyFont="1" applyBorder="1"/>
    <xf numFmtId="0" fontId="8" fillId="0" borderId="359" xfId="0" applyFont="1" applyBorder="1" applyAlignment="1">
      <alignment horizontal="left"/>
    </xf>
    <xf numFmtId="10" fontId="8" fillId="0" borderId="14" xfId="0" applyNumberFormat="1" applyFont="1" applyBorder="1" applyAlignment="1"/>
    <xf numFmtId="0" fontId="8" fillId="0" borderId="118" xfId="0" applyFont="1" applyBorder="1"/>
    <xf numFmtId="0" fontId="8" fillId="0" borderId="15" xfId="0" applyFont="1" applyBorder="1"/>
    <xf numFmtId="0" fontId="38" fillId="0" borderId="239" xfId="0" applyFont="1" applyBorder="1"/>
    <xf numFmtId="0" fontId="38" fillId="0" borderId="112" xfId="0" applyFont="1" applyBorder="1" applyAlignment="1">
      <alignment horizontal="center" vertical="center"/>
    </xf>
    <xf numFmtId="0" fontId="38" fillId="0" borderId="113" xfId="0" applyFont="1" applyBorder="1" applyAlignment="1">
      <alignment horizontal="center" vertical="center" wrapText="1"/>
    </xf>
    <xf numFmtId="0" fontId="38" fillId="0" borderId="113" xfId="0" applyFont="1" applyBorder="1" applyAlignment="1">
      <alignment horizontal="center" vertical="center"/>
    </xf>
    <xf numFmtId="0" fontId="38" fillId="0" borderId="16" xfId="0" applyFont="1" applyBorder="1" applyAlignment="1">
      <alignment horizontal="center" vertical="center" wrapText="1"/>
    </xf>
    <xf numFmtId="0" fontId="38" fillId="0" borderId="358" xfId="0" applyFont="1" applyBorder="1" applyAlignment="1">
      <alignment horizontal="center" wrapText="1"/>
    </xf>
    <xf numFmtId="0" fontId="38" fillId="0" borderId="163" xfId="0" applyFont="1" applyBorder="1" applyAlignment="1">
      <alignment horizontal="center"/>
    </xf>
    <xf numFmtId="0" fontId="38" fillId="0" borderId="116" xfId="0" applyFont="1" applyBorder="1" applyAlignment="1">
      <alignment horizontal="center"/>
    </xf>
    <xf numFmtId="181" fontId="38" fillId="0" borderId="116" xfId="0" applyNumberFormat="1" applyFont="1" applyBorder="1"/>
    <xf numFmtId="181" fontId="38" fillId="0" borderId="358" xfId="0" applyNumberFormat="1" applyFont="1" applyBorder="1"/>
    <xf numFmtId="181" fontId="38" fillId="0" borderId="359" xfId="0" applyNumberFormat="1" applyFont="1" applyBorder="1"/>
    <xf numFmtId="0" fontId="38" fillId="0" borderId="161" xfId="0" applyFont="1" applyBorder="1" applyAlignment="1">
      <alignment horizontal="center"/>
    </xf>
    <xf numFmtId="181" fontId="38" fillId="0" borderId="162" xfId="0" applyNumberFormat="1" applyFont="1" applyBorder="1"/>
    <xf numFmtId="0" fontId="38" fillId="0" borderId="117" xfId="0" applyFont="1" applyBorder="1" applyAlignment="1">
      <alignment horizontal="center"/>
    </xf>
    <xf numFmtId="181" fontId="38" fillId="0" borderId="117" xfId="0" applyNumberFormat="1" applyFont="1" applyBorder="1"/>
    <xf numFmtId="181" fontId="38" fillId="0" borderId="18" xfId="0" applyNumberFormat="1" applyFont="1" applyBorder="1"/>
    <xf numFmtId="181" fontId="38" fillId="0" borderId="0" xfId="0" applyNumberFormat="1" applyFont="1"/>
    <xf numFmtId="182" fontId="38" fillId="0" borderId="0" xfId="0" applyNumberFormat="1" applyFont="1"/>
    <xf numFmtId="0" fontId="38" fillId="0" borderId="164" xfId="0" applyFont="1" applyBorder="1" applyAlignment="1">
      <alignment horizontal="center"/>
    </xf>
    <xf numFmtId="0" fontId="38" fillId="0" borderId="0" xfId="0" applyFont="1" applyBorder="1" applyAlignment="1">
      <alignment horizontal="center"/>
    </xf>
    <xf numFmtId="10" fontId="38" fillId="0" borderId="0" xfId="0" applyNumberFormat="1" applyFont="1" applyBorder="1" applyAlignment="1">
      <alignment horizontal="center"/>
    </xf>
    <xf numFmtId="10" fontId="38" fillId="0" borderId="13" xfId="0" applyNumberFormat="1" applyFont="1" applyBorder="1" applyAlignment="1">
      <alignment horizontal="center"/>
    </xf>
    <xf numFmtId="10" fontId="38" fillId="0" borderId="162" xfId="0" applyNumberFormat="1" applyFont="1" applyBorder="1" applyAlignment="1">
      <alignment horizontal="center"/>
    </xf>
    <xf numFmtId="0" fontId="38" fillId="25" borderId="0" xfId="0" applyFont="1" applyFill="1" applyBorder="1" applyAlignment="1">
      <alignment horizontal="center"/>
    </xf>
    <xf numFmtId="181" fontId="38" fillId="25" borderId="0" xfId="0" applyNumberFormat="1" applyFont="1" applyFill="1" applyBorder="1" applyAlignment="1">
      <alignment horizontal="center"/>
    </xf>
    <xf numFmtId="181" fontId="49" fillId="25" borderId="0" xfId="0" applyNumberFormat="1" applyFont="1" applyFill="1" applyBorder="1"/>
    <xf numFmtId="181" fontId="38" fillId="25" borderId="0" xfId="0" applyNumberFormat="1" applyFont="1" applyFill="1" applyBorder="1"/>
    <xf numFmtId="0" fontId="38" fillId="25" borderId="0" xfId="0" applyFont="1" applyFill="1" applyBorder="1"/>
    <xf numFmtId="2" fontId="38" fillId="25" borderId="0" xfId="0" applyNumberFormat="1" applyFont="1" applyFill="1" applyBorder="1"/>
    <xf numFmtId="10" fontId="38" fillId="25" borderId="0" xfId="0" applyNumberFormat="1" applyFont="1" applyFill="1" applyBorder="1" applyAlignment="1">
      <alignment horizontal="center"/>
    </xf>
    <xf numFmtId="0" fontId="21" fillId="26" borderId="113" xfId="0" applyFont="1" applyFill="1" applyBorder="1"/>
    <xf numFmtId="0" fontId="21" fillId="26" borderId="16" xfId="0" applyFont="1" applyFill="1" applyBorder="1"/>
    <xf numFmtId="10" fontId="38" fillId="0" borderId="166" xfId="0" applyNumberFormat="1" applyFont="1" applyBorder="1" applyAlignment="1">
      <alignment horizontal="center"/>
    </xf>
    <xf numFmtId="0" fontId="39" fillId="20" borderId="116" xfId="0" applyFont="1" applyFill="1" applyBorder="1" applyAlignment="1">
      <alignment horizontal="center"/>
    </xf>
    <xf numFmtId="0" fontId="39" fillId="20" borderId="0" xfId="0" applyFont="1" applyFill="1" applyBorder="1" applyAlignment="1">
      <alignment horizontal="center"/>
    </xf>
    <xf numFmtId="0" fontId="39" fillId="20" borderId="14" xfId="0" applyFont="1" applyFill="1" applyBorder="1" applyAlignment="1">
      <alignment horizontal="center"/>
    </xf>
    <xf numFmtId="0" fontId="21" fillId="26" borderId="113" xfId="0" applyFont="1" applyFill="1" applyBorder="1" applyAlignment="1">
      <alignment horizontal="center"/>
    </xf>
    <xf numFmtId="181" fontId="38" fillId="0" borderId="157" xfId="0" applyNumberFormat="1" applyFont="1" applyBorder="1"/>
    <xf numFmtId="181" fontId="38" fillId="0" borderId="115" xfId="0" applyNumberFormat="1" applyFont="1" applyBorder="1"/>
    <xf numFmtId="181" fontId="38" fillId="0" borderId="14" xfId="0" applyNumberFormat="1" applyFont="1" applyBorder="1"/>
    <xf numFmtId="181" fontId="8" fillId="0" borderId="13" xfId="0" applyNumberFormat="1" applyFont="1" applyBorder="1" applyAlignment="1">
      <alignment horizontal="center" vertical="center"/>
    </xf>
    <xf numFmtId="181" fontId="8" fillId="24" borderId="118" xfId="0" applyNumberFormat="1" applyFont="1" applyFill="1" applyBorder="1" applyAlignment="1">
      <alignment horizontal="center"/>
    </xf>
    <xf numFmtId="181" fontId="8" fillId="0" borderId="242" xfId="0" applyNumberFormat="1" applyFont="1" applyFill="1" applyBorder="1" applyAlignment="1">
      <alignment horizontal="center" vertical="center"/>
    </xf>
    <xf numFmtId="181" fontId="8" fillId="0" borderId="242" xfId="0" applyNumberFormat="1" applyFont="1" applyFill="1" applyBorder="1" applyAlignment="1">
      <alignment horizontal="center"/>
    </xf>
    <xf numFmtId="181" fontId="8" fillId="0" borderId="242" xfId="0" applyNumberFormat="1" applyFont="1" applyBorder="1" applyAlignment="1">
      <alignment horizontal="center"/>
    </xf>
    <xf numFmtId="0" fontId="9" fillId="0" borderId="239" xfId="0" applyFont="1" applyBorder="1" applyAlignment="1">
      <alignment wrapText="1"/>
    </xf>
    <xf numFmtId="0" fontId="8" fillId="0" borderId="384" xfId="0" applyFont="1" applyBorder="1" applyAlignment="1">
      <alignment wrapText="1"/>
    </xf>
    <xf numFmtId="0" fontId="9" fillId="24" borderId="114" xfId="0" applyFont="1" applyFill="1" applyBorder="1"/>
    <xf numFmtId="181" fontId="38" fillId="0" borderId="118" xfId="0" applyNumberFormat="1" applyFont="1" applyBorder="1"/>
    <xf numFmtId="181" fontId="38" fillId="0" borderId="15" xfId="0" applyNumberFormat="1" applyFont="1" applyBorder="1"/>
    <xf numFmtId="0" fontId="39" fillId="8" borderId="16" xfId="0" applyFont="1" applyFill="1" applyBorder="1" applyAlignment="1">
      <alignment horizontal="center"/>
    </xf>
    <xf numFmtId="0" fontId="38" fillId="8" borderId="16" xfId="0" applyFont="1" applyFill="1" applyBorder="1" applyAlignment="1">
      <alignment horizontal="center"/>
    </xf>
    <xf numFmtId="0" fontId="38" fillId="8" borderId="123" xfId="0" applyFont="1" applyFill="1" applyBorder="1" applyAlignment="1">
      <alignment horizontal="center"/>
    </xf>
    <xf numFmtId="0" fontId="38" fillId="8" borderId="407" xfId="0" applyFont="1" applyFill="1" applyBorder="1" applyAlignment="1">
      <alignment horizontal="center"/>
    </xf>
    <xf numFmtId="0" fontId="38" fillId="8" borderId="365" xfId="0" applyFont="1" applyFill="1" applyBorder="1" applyAlignment="1">
      <alignment horizontal="center"/>
    </xf>
    <xf numFmtId="172" fontId="27" fillId="0" borderId="239" xfId="0" applyNumberFormat="1" applyFont="1" applyBorder="1" applyAlignment="1">
      <alignment horizontal="left" vertical="center"/>
    </xf>
    <xf numFmtId="0" fontId="8" fillId="0" borderId="0" xfId="0" applyFont="1" applyAlignment="1">
      <alignment horizontal="center"/>
    </xf>
    <xf numFmtId="0" fontId="8" fillId="25" borderId="0" xfId="0" applyFont="1" applyFill="1" applyAlignment="1">
      <alignment wrapText="1"/>
    </xf>
    <xf numFmtId="10" fontId="8" fillId="25" borderId="0" xfId="0" applyNumberFormat="1" applyFont="1" applyFill="1"/>
    <xf numFmtId="0" fontId="9" fillId="25" borderId="0" xfId="0" applyFont="1" applyFill="1" applyBorder="1"/>
    <xf numFmtId="181" fontId="8" fillId="25" borderId="0" xfId="0" applyNumberFormat="1" applyFont="1" applyFill="1" applyBorder="1" applyAlignment="1">
      <alignment horizontal="center"/>
    </xf>
    <xf numFmtId="0" fontId="9" fillId="0" borderId="163" xfId="0" applyFont="1" applyBorder="1"/>
    <xf numFmtId="0" fontId="8" fillId="0" borderId="161" xfId="0" applyFont="1" applyBorder="1"/>
    <xf numFmtId="0" fontId="9" fillId="0" borderId="157" xfId="0" applyFont="1" applyBorder="1" applyAlignment="1">
      <alignment horizontal="center"/>
    </xf>
    <xf numFmtId="0" fontId="9" fillId="0" borderId="115" xfId="0" applyFont="1" applyBorder="1" applyAlignment="1">
      <alignment horizontal="center"/>
    </xf>
    <xf numFmtId="0" fontId="9" fillId="0" borderId="17" xfId="0" applyFont="1" applyBorder="1"/>
    <xf numFmtId="9" fontId="13" fillId="9" borderId="291" xfId="1" applyNumberFormat="1" applyFont="1" applyFill="1" applyBorder="1" applyAlignment="1"/>
    <xf numFmtId="0" fontId="12" fillId="0" borderId="379" xfId="1" applyFont="1" applyBorder="1" applyAlignment="1"/>
    <xf numFmtId="4" fontId="13" fillId="0" borderId="427" xfId="1" applyNumberFormat="1" applyFont="1" applyBorder="1"/>
    <xf numFmtId="3" fontId="13" fillId="0" borderId="427" xfId="1" applyNumberFormat="1" applyFont="1" applyBorder="1"/>
    <xf numFmtId="0" fontId="12" fillId="5" borderId="377" xfId="1" applyFont="1" applyFill="1" applyBorder="1" applyAlignment="1">
      <alignment horizontal="center"/>
    </xf>
    <xf numFmtId="3" fontId="13" fillId="0" borderId="427" xfId="1" applyNumberFormat="1" applyFont="1" applyBorder="1" applyAlignment="1"/>
    <xf numFmtId="0" fontId="12" fillId="11" borderId="377" xfId="1" applyFont="1" applyFill="1" applyBorder="1" applyAlignment="1">
      <alignment horizontal="center"/>
    </xf>
    <xf numFmtId="3" fontId="13" fillId="0" borderId="430" xfId="1" applyNumberFormat="1" applyFont="1" applyBorder="1"/>
    <xf numFmtId="0" fontId="8" fillId="0" borderId="0" xfId="0" applyFont="1" applyFill="1" applyAlignment="1">
      <alignment wrapText="1"/>
    </xf>
    <xf numFmtId="0" fontId="8" fillId="0" borderId="384" xfId="0" applyFont="1" applyBorder="1" applyAlignment="1">
      <alignment horizontal="left" wrapText="1"/>
    </xf>
    <xf numFmtId="0" fontId="9" fillId="0" borderId="384" xfId="0" applyFont="1" applyBorder="1" applyAlignment="1">
      <alignment wrapText="1"/>
    </xf>
    <xf numFmtId="0" fontId="9" fillId="0" borderId="239" xfId="0" applyFont="1" applyBorder="1" applyAlignment="1">
      <alignment horizontal="left" wrapText="1"/>
    </xf>
    <xf numFmtId="0" fontId="9" fillId="0" borderId="384" xfId="0" applyFont="1" applyBorder="1" applyAlignment="1">
      <alignment horizontal="left" wrapText="1"/>
    </xf>
    <xf numFmtId="0" fontId="9" fillId="24" borderId="241" xfId="0" applyFont="1" applyFill="1" applyBorder="1"/>
    <xf numFmtId="0" fontId="12" fillId="15" borderId="261" xfId="1" applyFont="1" applyFill="1" applyBorder="1" applyAlignment="1">
      <alignment horizontal="center" vertical="center" wrapText="1"/>
    </xf>
    <xf numFmtId="0" fontId="12" fillId="21" borderId="435" xfId="1" applyFont="1" applyFill="1" applyBorder="1" applyAlignment="1">
      <alignment horizontal="center"/>
    </xf>
    <xf numFmtId="0" fontId="12" fillId="21" borderId="153" xfId="1" applyFont="1" applyFill="1" applyBorder="1" applyAlignment="1">
      <alignment horizontal="center"/>
    </xf>
    <xf numFmtId="0" fontId="12" fillId="21" borderId="154" xfId="1" applyFont="1" applyFill="1" applyBorder="1" applyAlignment="1">
      <alignment horizontal="center"/>
    </xf>
    <xf numFmtId="0" fontId="12" fillId="8" borderId="127" xfId="1" applyFont="1" applyFill="1" applyBorder="1" applyAlignment="1">
      <alignment horizontal="center"/>
    </xf>
    <xf numFmtId="3" fontId="12" fillId="18" borderId="140" xfId="1" applyNumberFormat="1" applyFont="1" applyFill="1" applyBorder="1"/>
    <xf numFmtId="10" fontId="13" fillId="0" borderId="437" xfId="1" applyNumberFormat="1" applyFont="1" applyBorder="1" applyAlignment="1"/>
    <xf numFmtId="0" fontId="13" fillId="0" borderId="438" xfId="1" applyFont="1" applyBorder="1" applyAlignment="1"/>
    <xf numFmtId="0" fontId="14" fillId="0" borderId="442" xfId="1" applyFont="1" applyBorder="1" applyAlignment="1">
      <alignment horizontal="right"/>
    </xf>
    <xf numFmtId="0" fontId="13" fillId="0" borderId="441" xfId="1" applyFont="1" applyBorder="1" applyAlignment="1"/>
    <xf numFmtId="0" fontId="12" fillId="19" borderId="127" xfId="1" applyFont="1" applyFill="1" applyBorder="1" applyAlignment="1">
      <alignment horizontal="center" vertical="center"/>
    </xf>
    <xf numFmtId="3" fontId="12" fillId="20" borderId="140" xfId="1" applyNumberFormat="1" applyFont="1" applyFill="1" applyBorder="1"/>
    <xf numFmtId="10" fontId="13" fillId="0" borderId="437" xfId="1" applyNumberFormat="1" applyFont="1" applyBorder="1"/>
    <xf numFmtId="0" fontId="12" fillId="6" borderId="148" xfId="1" applyFont="1" applyFill="1" applyBorder="1" applyAlignment="1">
      <alignment horizontal="center"/>
    </xf>
    <xf numFmtId="3" fontId="12" fillId="21" borderId="149" xfId="1" applyNumberFormat="1" applyFont="1" applyFill="1" applyBorder="1"/>
    <xf numFmtId="3" fontId="12" fillId="21" borderId="380" xfId="1" applyNumberFormat="1" applyFont="1" applyFill="1" applyBorder="1"/>
    <xf numFmtId="3" fontId="12" fillId="21" borderId="150" xfId="1" applyNumberFormat="1" applyFont="1" applyFill="1" applyBorder="1"/>
    <xf numFmtId="0" fontId="8" fillId="0" borderId="161" xfId="0" applyFont="1" applyFill="1" applyBorder="1" applyAlignment="1">
      <alignment wrapText="1"/>
    </xf>
    <xf numFmtId="179" fontId="8" fillId="0" borderId="13" xfId="0" applyNumberFormat="1" applyFont="1" applyBorder="1"/>
    <xf numFmtId="0" fontId="25" fillId="32" borderId="145" xfId="1" applyFont="1" applyFill="1" applyBorder="1" applyAlignment="1">
      <alignment horizontal="center" vertical="center"/>
    </xf>
    <xf numFmtId="0" fontId="25" fillId="32" borderId="232" xfId="1" applyFont="1" applyFill="1" applyBorder="1" applyAlignment="1">
      <alignment horizontal="center" vertical="center"/>
    </xf>
    <xf numFmtId="0" fontId="25" fillId="46" borderId="436" xfId="1" applyFont="1" applyFill="1" applyBorder="1" applyAlignment="1">
      <alignment horizontal="right"/>
    </xf>
    <xf numFmtId="3" fontId="24" fillId="9" borderId="252" xfId="1" applyNumberFormat="1" applyFont="1" applyFill="1" applyBorder="1" applyAlignment="1"/>
    <xf numFmtId="9" fontId="24" fillId="9" borderId="444" xfId="1" applyNumberFormat="1" applyFont="1" applyFill="1" applyBorder="1" applyAlignment="1"/>
    <xf numFmtId="0" fontId="25" fillId="46" borderId="265" xfId="1" applyFont="1" applyFill="1" applyBorder="1" applyAlignment="1"/>
    <xf numFmtId="0" fontId="24" fillId="9" borderId="445" xfId="1" applyFont="1" applyFill="1" applyBorder="1" applyAlignment="1"/>
    <xf numFmtId="0" fontId="25" fillId="46" borderId="127" xfId="1" applyFont="1" applyFill="1" applyBorder="1" applyAlignment="1">
      <alignment horizontal="right"/>
    </xf>
    <xf numFmtId="3" fontId="24" fillId="9" borderId="253" xfId="1" applyNumberFormat="1" applyFont="1" applyFill="1" applyBorder="1" applyAlignment="1"/>
    <xf numFmtId="0" fontId="25" fillId="46" borderId="17" xfId="1" applyFont="1" applyFill="1" applyBorder="1" applyAlignment="1"/>
    <xf numFmtId="0" fontId="25" fillId="46" borderId="127" xfId="1" applyFont="1" applyFill="1" applyBorder="1" applyAlignment="1"/>
    <xf numFmtId="0" fontId="25" fillId="46" borderId="443" xfId="1" applyFont="1" applyFill="1" applyBorder="1" applyAlignment="1">
      <alignment horizontal="center"/>
    </xf>
    <xf numFmtId="0" fontId="25" fillId="46" borderId="131" xfId="1" applyFont="1" applyFill="1" applyBorder="1" applyAlignment="1">
      <alignment horizontal="center"/>
    </xf>
    <xf numFmtId="0" fontId="12" fillId="46" borderId="446" xfId="1" applyFont="1" applyFill="1" applyBorder="1" applyAlignment="1">
      <alignment horizontal="center"/>
    </xf>
    <xf numFmtId="10" fontId="30" fillId="0" borderId="0" xfId="1" applyNumberFormat="1" applyFont="1" applyBorder="1" applyAlignment="1"/>
    <xf numFmtId="0" fontId="12" fillId="46" borderId="447" xfId="1" applyFont="1" applyFill="1" applyBorder="1" applyAlignment="1">
      <alignment horizontal="center"/>
    </xf>
    <xf numFmtId="0" fontId="12" fillId="46" borderId="436" xfId="1" applyFont="1" applyFill="1" applyBorder="1" applyAlignment="1">
      <alignment horizontal="center"/>
    </xf>
    <xf numFmtId="0" fontId="30" fillId="0" borderId="118" xfId="1" applyFont="1" applyBorder="1" applyAlignment="1"/>
    <xf numFmtId="0" fontId="25" fillId="46" borderId="451" xfId="1" applyFont="1" applyFill="1" applyBorder="1" applyAlignment="1">
      <alignment horizontal="center"/>
    </xf>
    <xf numFmtId="0" fontId="25" fillId="46" borderId="452" xfId="1" applyFont="1" applyFill="1" applyBorder="1" applyAlignment="1">
      <alignment horizontal="center"/>
    </xf>
    <xf numFmtId="0" fontId="25" fillId="46" borderId="453" xfId="1" applyFont="1" applyFill="1" applyBorder="1" applyAlignment="1">
      <alignment horizontal="center"/>
    </xf>
    <xf numFmtId="0" fontId="8" fillId="0" borderId="163" xfId="0" applyFont="1" applyFill="1" applyBorder="1" applyAlignment="1">
      <alignment horizontal="left"/>
    </xf>
    <xf numFmtId="2" fontId="8" fillId="0" borderId="0" xfId="0" applyNumberFormat="1" applyFont="1" applyFill="1"/>
    <xf numFmtId="181" fontId="8" fillId="0" borderId="162" xfId="0" applyNumberFormat="1" applyFont="1" applyFill="1" applyBorder="1"/>
    <xf numFmtId="0" fontId="25" fillId="11" borderId="17" xfId="1" applyFont="1" applyFill="1" applyBorder="1" applyAlignment="1">
      <alignment horizontal="center"/>
    </xf>
    <xf numFmtId="0" fontId="25" fillId="42" borderId="454" xfId="1" applyFont="1" applyFill="1" applyBorder="1" applyAlignment="1"/>
    <xf numFmtId="0" fontId="38" fillId="0" borderId="239" xfId="0" applyFont="1" applyBorder="1" applyAlignment="1">
      <alignment wrapText="1"/>
    </xf>
    <xf numFmtId="175" fontId="38" fillId="0" borderId="0" xfId="0" applyNumberFormat="1" applyFont="1" applyBorder="1"/>
    <xf numFmtId="175" fontId="38" fillId="0" borderId="13" xfId="0" applyNumberFormat="1" applyFont="1" applyBorder="1"/>
    <xf numFmtId="177" fontId="38" fillId="0" borderId="0" xfId="0" applyNumberFormat="1" applyFont="1" applyBorder="1"/>
    <xf numFmtId="177" fontId="38" fillId="0" borderId="13" xfId="0" applyNumberFormat="1" applyFont="1" applyBorder="1"/>
    <xf numFmtId="172" fontId="38" fillId="0" borderId="13" xfId="0" applyNumberFormat="1" applyFont="1" applyBorder="1" applyAlignment="1">
      <alignment horizontal="right"/>
    </xf>
    <xf numFmtId="9" fontId="38" fillId="0" borderId="162" xfId="0" applyNumberFormat="1" applyFont="1" applyBorder="1"/>
    <xf numFmtId="0" fontId="38" fillId="25" borderId="0" xfId="0" applyFont="1" applyFill="1" applyBorder="1" applyAlignment="1">
      <alignment wrapText="1"/>
    </xf>
    <xf numFmtId="10" fontId="38" fillId="25" borderId="0" xfId="0" applyNumberFormat="1" applyFont="1" applyFill="1" applyBorder="1"/>
    <xf numFmtId="0" fontId="12" fillId="46" borderId="455" xfId="1" applyFont="1" applyFill="1" applyBorder="1" applyAlignment="1">
      <alignment horizontal="center"/>
    </xf>
    <xf numFmtId="9" fontId="24" fillId="0" borderId="370" xfId="1" applyNumberFormat="1" applyFont="1" applyBorder="1"/>
    <xf numFmtId="0" fontId="12" fillId="46" borderId="456" xfId="1" applyFont="1" applyFill="1" applyBorder="1" applyAlignment="1">
      <alignment horizontal="center"/>
    </xf>
    <xf numFmtId="9" fontId="24" fillId="0" borderId="389" xfId="1" applyNumberFormat="1" applyFont="1" applyBorder="1"/>
    <xf numFmtId="0" fontId="12" fillId="46" borderId="457" xfId="1" applyFont="1" applyFill="1" applyBorder="1" applyAlignment="1">
      <alignment horizontal="center"/>
    </xf>
    <xf numFmtId="0" fontId="35" fillId="0" borderId="117" xfId="1" applyFont="1" applyBorder="1" applyAlignment="1">
      <alignment horizontal="right"/>
    </xf>
    <xf numFmtId="0" fontId="39" fillId="0" borderId="0" xfId="0" applyFont="1" applyBorder="1"/>
    <xf numFmtId="0" fontId="39" fillId="0" borderId="118" xfId="0" applyFont="1" applyBorder="1" applyAlignment="1">
      <alignment horizontal="center"/>
    </xf>
    <xf numFmtId="0" fontId="11" fillId="0" borderId="399" xfId="1" applyFont="1" applyBorder="1" applyAlignment="1"/>
    <xf numFmtId="0" fontId="11" fillId="0" borderId="401" xfId="1" applyFont="1" applyBorder="1" applyAlignment="1"/>
    <xf numFmtId="0" fontId="11" fillId="0" borderId="402" xfId="1" applyFont="1" applyBorder="1" applyAlignment="1"/>
    <xf numFmtId="0" fontId="11" fillId="0" borderId="406" xfId="1" applyFont="1" applyBorder="1" applyAlignment="1"/>
    <xf numFmtId="10" fontId="11" fillId="0" borderId="9" xfId="1" applyNumberFormat="1" applyFont="1" applyBorder="1" applyAlignment="1"/>
    <xf numFmtId="10" fontId="11" fillId="0" borderId="398" xfId="1" applyNumberFormat="1" applyFont="1" applyBorder="1" applyAlignment="1"/>
    <xf numFmtId="10" fontId="11" fillId="0" borderId="405" xfId="1" applyNumberFormat="1" applyFont="1" applyBorder="1" applyAlignment="1"/>
    <xf numFmtId="10" fontId="11" fillId="0" borderId="399" xfId="1" applyNumberFormat="1" applyFont="1" applyBorder="1" applyAlignment="1"/>
    <xf numFmtId="10" fontId="11" fillId="0" borderId="402" xfId="1" applyNumberFormat="1" applyFont="1" applyBorder="1" applyAlignment="1"/>
    <xf numFmtId="10" fontId="11" fillId="0" borderId="406" xfId="1" applyNumberFormat="1" applyFont="1" applyBorder="1" applyAlignment="1"/>
    <xf numFmtId="0" fontId="16" fillId="0" borderId="404" xfId="1" applyFont="1" applyBorder="1" applyAlignment="1"/>
    <xf numFmtId="0" fontId="16" fillId="0" borderId="404" xfId="1" applyFont="1" applyBorder="1" applyAlignment="1">
      <alignment horizontal="center"/>
    </xf>
    <xf numFmtId="0" fontId="16" fillId="0" borderId="0" xfId="1" applyFont="1" applyAlignment="1">
      <alignment horizontal="center" vertical="center"/>
    </xf>
    <xf numFmtId="0" fontId="16" fillId="0" borderId="17" xfId="1" applyFont="1" applyBorder="1" applyAlignment="1">
      <alignment horizontal="center" vertical="center"/>
    </xf>
    <xf numFmtId="0" fontId="11" fillId="0" borderId="237" xfId="1" applyFont="1" applyBorder="1" applyAlignment="1"/>
    <xf numFmtId="0" fontId="50" fillId="0" borderId="0" xfId="1" applyFont="1" applyAlignment="1"/>
    <xf numFmtId="0" fontId="16" fillId="0" borderId="151" xfId="1" applyFont="1" applyBorder="1" applyAlignment="1"/>
    <xf numFmtId="0" fontId="16" fillId="0" borderId="401" xfId="1" applyFont="1" applyBorder="1" applyAlignment="1"/>
    <xf numFmtId="2" fontId="38" fillId="0" borderId="0" xfId="0" applyNumberFormat="1" applyFont="1" applyFill="1" applyBorder="1" applyAlignment="1">
      <alignment horizontal="right"/>
    </xf>
    <xf numFmtId="0" fontId="27" fillId="0" borderId="163" xfId="0" applyFont="1" applyBorder="1" applyAlignment="1">
      <alignment horizontal="center"/>
    </xf>
    <xf numFmtId="0" fontId="37" fillId="0" borderId="13" xfId="0" applyFont="1" applyBorder="1" applyAlignment="1">
      <alignment horizontal="center"/>
    </xf>
    <xf numFmtId="1" fontId="27" fillId="0" borderId="163" xfId="0" applyNumberFormat="1" applyFont="1" applyBorder="1" applyAlignment="1">
      <alignment horizontal="center"/>
    </xf>
    <xf numFmtId="0" fontId="27" fillId="0" borderId="142" xfId="0" applyFont="1" applyBorder="1" applyAlignment="1">
      <alignment horizontal="center"/>
    </xf>
    <xf numFmtId="0" fontId="27" fillId="0" borderId="161" xfId="0" applyFont="1" applyBorder="1" applyAlignment="1">
      <alignment horizontal="center"/>
    </xf>
    <xf numFmtId="0" fontId="37" fillId="0" borderId="162" xfId="0" applyFont="1" applyBorder="1" applyAlignment="1">
      <alignment horizontal="center"/>
    </xf>
    <xf numFmtId="0" fontId="27" fillId="0" borderId="244" xfId="0" applyFont="1" applyBorder="1" applyAlignment="1">
      <alignment horizontal="center"/>
    </xf>
    <xf numFmtId="0" fontId="27" fillId="0" borderId="395" xfId="0" applyFont="1" applyBorder="1" applyAlignment="1">
      <alignment horizontal="center"/>
    </xf>
    <xf numFmtId="0" fontId="37" fillId="0" borderId="245" xfId="0" applyFont="1" applyBorder="1" applyAlignment="1">
      <alignment horizontal="center"/>
    </xf>
    <xf numFmtId="0" fontId="48" fillId="22" borderId="425" xfId="0" applyFont="1" applyFill="1" applyBorder="1" applyAlignment="1"/>
    <xf numFmtId="169" fontId="48" fillId="22" borderId="162" xfId="6" applyFont="1" applyFill="1" applyBorder="1" applyAlignment="1">
      <alignment horizontal="right"/>
    </xf>
    <xf numFmtId="175" fontId="48" fillId="22" borderId="162" xfId="6" applyNumberFormat="1" applyFont="1" applyFill="1" applyBorder="1" applyAlignment="1"/>
    <xf numFmtId="1" fontId="48" fillId="22" borderId="162" xfId="6" applyNumberFormat="1" applyFont="1" applyFill="1" applyBorder="1" applyAlignment="1">
      <alignment horizontal="right"/>
    </xf>
    <xf numFmtId="169" fontId="48" fillId="22" borderId="13" xfId="6" applyFont="1" applyFill="1" applyBorder="1" applyAlignment="1">
      <alignment horizontal="right"/>
    </xf>
    <xf numFmtId="0" fontId="48" fillId="22" borderId="423" xfId="0" applyFont="1" applyFill="1" applyBorder="1" applyAlignment="1"/>
    <xf numFmtId="169" fontId="48" fillId="22" borderId="424" xfId="6" applyFont="1" applyFill="1" applyBorder="1" applyAlignment="1">
      <alignment horizontal="right"/>
    </xf>
    <xf numFmtId="175" fontId="48" fillId="22" borderId="13" xfId="6" applyNumberFormat="1" applyFont="1" applyFill="1" applyBorder="1" applyAlignment="1">
      <alignment horizontal="center" vertical="center"/>
    </xf>
    <xf numFmtId="0" fontId="48" fillId="0" borderId="0" xfId="1" applyFont="1" applyFill="1" applyBorder="1" applyAlignment="1"/>
    <xf numFmtId="0" fontId="48" fillId="0" borderId="13" xfId="1" applyFont="1" applyBorder="1" applyAlignment="1"/>
    <xf numFmtId="0" fontId="48" fillId="0" borderId="142" xfId="1" applyFont="1" applyBorder="1" applyAlignment="1"/>
    <xf numFmtId="0" fontId="39" fillId="0" borderId="116" xfId="0" applyFont="1" applyBorder="1"/>
    <xf numFmtId="0" fontId="38" fillId="0" borderId="14" xfId="0" applyFont="1" applyBorder="1" applyAlignment="1">
      <alignment wrapText="1"/>
    </xf>
    <xf numFmtId="0" fontId="39" fillId="0" borderId="117" xfId="0" applyFont="1" applyBorder="1"/>
    <xf numFmtId="189" fontId="38" fillId="0" borderId="15" xfId="0" applyNumberFormat="1" applyFont="1" applyBorder="1" applyAlignment="1">
      <alignment horizontal="left"/>
    </xf>
    <xf numFmtId="9" fontId="8" fillId="0" borderId="13" xfId="0" applyNumberFormat="1" applyFont="1" applyBorder="1" applyAlignment="1">
      <alignment horizontal="center"/>
    </xf>
    <xf numFmtId="9" fontId="8" fillId="0" borderId="13" xfId="0" applyNumberFormat="1" applyFont="1" applyFill="1" applyBorder="1" applyAlignment="1">
      <alignment horizontal="center"/>
    </xf>
    <xf numFmtId="9" fontId="8" fillId="0" borderId="162" xfId="0" applyNumberFormat="1" applyFont="1" applyFill="1" applyBorder="1" applyAlignment="1">
      <alignment horizontal="center"/>
    </xf>
    <xf numFmtId="9" fontId="38" fillId="0" borderId="13" xfId="0" applyNumberFormat="1" applyFont="1" applyBorder="1" applyAlignment="1">
      <alignment horizontal="center"/>
    </xf>
    <xf numFmtId="9" fontId="38" fillId="0" borderId="162" xfId="0" applyNumberFormat="1" applyFont="1" applyBorder="1" applyAlignment="1">
      <alignment horizontal="center"/>
    </xf>
    <xf numFmtId="181" fontId="8" fillId="24" borderId="242" xfId="0" applyNumberFormat="1" applyFont="1" applyFill="1" applyBorder="1" applyAlignment="1">
      <alignment horizontal="center"/>
    </xf>
    <xf numFmtId="0" fontId="39" fillId="20" borderId="112" xfId="0" applyFont="1" applyFill="1" applyBorder="1" applyAlignment="1">
      <alignment horizontal="center"/>
    </xf>
    <xf numFmtId="0" fontId="38" fillId="0" borderId="157" xfId="0" applyFont="1" applyBorder="1"/>
    <xf numFmtId="0" fontId="16" fillId="20" borderId="112" xfId="0" applyFont="1" applyFill="1" applyBorder="1"/>
    <xf numFmtId="0" fontId="16" fillId="20" borderId="113" xfId="0" applyFont="1" applyFill="1" applyBorder="1" applyAlignment="1">
      <alignment horizontal="center"/>
    </xf>
    <xf numFmtId="0" fontId="16" fillId="20" borderId="16" xfId="0" applyFont="1" applyFill="1" applyBorder="1" applyAlignment="1">
      <alignment horizontal="center"/>
    </xf>
    <xf numFmtId="0" fontId="8" fillId="0" borderId="11" xfId="0" applyFont="1" applyFill="1" applyBorder="1"/>
    <xf numFmtId="0" fontId="9" fillId="0" borderId="0" xfId="0" applyFont="1" applyFill="1" applyBorder="1" applyAlignment="1">
      <alignment wrapText="1"/>
    </xf>
    <xf numFmtId="0" fontId="21" fillId="23" borderId="112" xfId="0" applyFont="1" applyFill="1" applyBorder="1" applyAlignment="1"/>
    <xf numFmtId="0" fontId="21" fillId="23" borderId="113" xfId="0" applyFont="1" applyFill="1" applyBorder="1" applyAlignment="1"/>
    <xf numFmtId="0" fontId="21" fillId="23" borderId="16" xfId="0" applyFont="1" applyFill="1" applyBorder="1" applyAlignment="1"/>
    <xf numFmtId="173" fontId="38" fillId="0" borderId="12" xfId="0" applyNumberFormat="1" applyFont="1" applyBorder="1" applyAlignment="1">
      <alignment horizontal="center"/>
    </xf>
    <xf numFmtId="173" fontId="38" fillId="0" borderId="162" xfId="0" applyNumberFormat="1" applyFont="1" applyFill="1" applyBorder="1" applyAlignment="1">
      <alignment horizontal="center"/>
    </xf>
    <xf numFmtId="3" fontId="16" fillId="9" borderId="121" xfId="1" applyNumberFormat="1" applyFont="1" applyFill="1" applyBorder="1" applyAlignment="1">
      <alignment horizontal="center" vertical="center"/>
    </xf>
    <xf numFmtId="0" fontId="8" fillId="0" borderId="384" xfId="0" applyFont="1" applyBorder="1"/>
    <xf numFmtId="0" fontId="12" fillId="0" borderId="17" xfId="1" applyFont="1" applyBorder="1" applyAlignment="1">
      <alignment horizontal="center" vertical="center"/>
    </xf>
    <xf numFmtId="172" fontId="27" fillId="0" borderId="342" xfId="0" applyNumberFormat="1" applyFont="1" applyBorder="1" applyAlignment="1">
      <alignment horizontal="right" vertical="center"/>
    </xf>
    <xf numFmtId="172" fontId="27" fillId="0" borderId="384" xfId="0" quotePrefix="1" applyNumberFormat="1" applyFont="1" applyBorder="1" applyAlignment="1">
      <alignment horizontal="right" vertical="center"/>
    </xf>
    <xf numFmtId="190" fontId="38" fillId="0" borderId="400" xfId="0" applyNumberFormat="1" applyFont="1" applyBorder="1"/>
    <xf numFmtId="190" fontId="38" fillId="0" borderId="402" xfId="0" applyNumberFormat="1" applyFont="1" applyBorder="1"/>
    <xf numFmtId="190" fontId="38" fillId="0" borderId="363" xfId="0" applyNumberFormat="1" applyFont="1" applyBorder="1"/>
    <xf numFmtId="190" fontId="38" fillId="0" borderId="406" xfId="0" applyNumberFormat="1" applyFont="1" applyBorder="1"/>
    <xf numFmtId="190" fontId="38" fillId="0" borderId="365" xfId="0" applyNumberFormat="1" applyFont="1" applyBorder="1"/>
    <xf numFmtId="190" fontId="38" fillId="0" borderId="402" xfId="2" applyNumberFormat="1" applyFont="1" applyBorder="1"/>
    <xf numFmtId="187" fontId="48" fillId="0" borderId="0" xfId="1" applyNumberFormat="1" applyFont="1" applyAlignment="1"/>
    <xf numFmtId="0" fontId="33" fillId="0" borderId="238" xfId="0" applyFont="1" applyBorder="1" applyAlignment="1">
      <alignment horizontal="right"/>
    </xf>
    <xf numFmtId="190" fontId="38" fillId="0" borderId="365" xfId="0" applyNumberFormat="1" applyFont="1" applyBorder="1" applyAlignment="1"/>
    <xf numFmtId="0" fontId="39" fillId="0" borderId="17" xfId="0" applyFont="1" applyBorder="1" applyAlignment="1">
      <alignment horizontal="center" vertical="center"/>
    </xf>
    <xf numFmtId="184" fontId="38" fillId="0" borderId="400" xfId="0" applyNumberFormat="1" applyFont="1" applyBorder="1" applyAlignment="1"/>
    <xf numFmtId="184" fontId="38" fillId="0" borderId="406" xfId="0" applyNumberFormat="1" applyFont="1" applyBorder="1" applyAlignment="1"/>
    <xf numFmtId="10" fontId="8" fillId="0" borderId="0" xfId="0" quotePrefix="1" applyNumberFormat="1" applyFont="1" applyBorder="1"/>
    <xf numFmtId="171" fontId="38" fillId="0" borderId="400" xfId="0" applyNumberFormat="1" applyFont="1" applyBorder="1" applyAlignment="1"/>
    <xf numFmtId="171" fontId="38" fillId="0" borderId="402" xfId="0" applyNumberFormat="1" applyFont="1" applyBorder="1" applyAlignment="1"/>
    <xf numFmtId="171" fontId="38" fillId="0" borderId="363" xfId="0" applyNumberFormat="1" applyFont="1" applyBorder="1" applyAlignment="1"/>
    <xf numFmtId="171" fontId="38" fillId="0" borderId="400" xfId="0" applyNumberFormat="1" applyFont="1" applyBorder="1"/>
    <xf numFmtId="171" fontId="38" fillId="0" borderId="402" xfId="0" applyNumberFormat="1" applyFont="1" applyBorder="1"/>
    <xf numFmtId="171" fontId="38" fillId="0" borderId="363" xfId="0" applyNumberFormat="1" applyFont="1" applyBorder="1"/>
    <xf numFmtId="171" fontId="38" fillId="0" borderId="406" xfId="0" applyNumberFormat="1" applyFont="1" applyBorder="1"/>
    <xf numFmtId="183" fontId="48" fillId="22" borderId="424" xfId="6" applyNumberFormat="1" applyFont="1" applyFill="1" applyBorder="1" applyAlignment="1">
      <alignment horizontal="right"/>
    </xf>
    <xf numFmtId="171" fontId="38" fillId="0" borderId="14" xfId="0" applyNumberFormat="1" applyFont="1" applyBorder="1" applyAlignment="1">
      <alignment horizontal="right"/>
    </xf>
    <xf numFmtId="171" fontId="38" fillId="0" borderId="16" xfId="0" applyNumberFormat="1" applyFont="1" applyBorder="1" applyAlignment="1">
      <alignment horizontal="right"/>
    </xf>
    <xf numFmtId="181" fontId="38" fillId="0" borderId="114" xfId="0" applyNumberFormat="1" applyFont="1" applyBorder="1" applyAlignment="1">
      <alignment horizontal="center"/>
    </xf>
    <xf numFmtId="181" fontId="38" fillId="0" borderId="116" xfId="0" applyNumberFormat="1" applyFont="1" applyBorder="1" applyAlignment="1">
      <alignment horizontal="center"/>
    </xf>
    <xf numFmtId="181" fontId="38" fillId="0" borderId="117" xfId="0" applyNumberFormat="1" applyFont="1" applyBorder="1" applyAlignment="1">
      <alignment horizontal="center"/>
    </xf>
    <xf numFmtId="171" fontId="38" fillId="0" borderId="0" xfId="0" applyNumberFormat="1" applyFont="1" applyBorder="1" applyAlignment="1">
      <alignment horizontal="right"/>
    </xf>
    <xf numFmtId="187" fontId="38" fillId="0" borderId="17" xfId="0" applyNumberFormat="1" applyFont="1" applyBorder="1"/>
    <xf numFmtId="187" fontId="38" fillId="0" borderId="18" xfId="0" applyNumberFormat="1" applyFont="1" applyBorder="1"/>
    <xf numFmtId="164" fontId="38" fillId="0" borderId="0" xfId="0" applyNumberFormat="1" applyFont="1" applyFill="1"/>
    <xf numFmtId="172" fontId="38" fillId="0" borderId="116" xfId="0" applyNumberFormat="1" applyFont="1" applyBorder="1"/>
    <xf numFmtId="172" fontId="38" fillId="0" borderId="14" xfId="0" applyNumberFormat="1" applyFont="1" applyBorder="1"/>
    <xf numFmtId="172" fontId="38" fillId="0" borderId="113" xfId="0" applyNumberFormat="1" applyFont="1" applyFill="1" applyBorder="1"/>
    <xf numFmtId="172" fontId="38" fillId="0" borderId="16" xfId="0" applyNumberFormat="1" applyFont="1" applyBorder="1"/>
    <xf numFmtId="0" fontId="39" fillId="0" borderId="112" xfId="0" applyFont="1" applyBorder="1"/>
    <xf numFmtId="0" fontId="44" fillId="0" borderId="112" xfId="0" applyFont="1" applyBorder="1"/>
    <xf numFmtId="175" fontId="44" fillId="0" borderId="0" xfId="1" applyNumberFormat="1" applyFont="1" applyFill="1" applyAlignment="1"/>
    <xf numFmtId="171" fontId="39" fillId="0" borderId="365" xfId="0" applyNumberFormat="1" applyFont="1" applyBorder="1"/>
    <xf numFmtId="172" fontId="38" fillId="0" borderId="236" xfId="0" applyNumberFormat="1" applyFont="1" applyBorder="1"/>
    <xf numFmtId="172" fontId="38" fillId="0" borderId="9" xfId="0" applyNumberFormat="1" applyFont="1" applyBorder="1"/>
    <xf numFmtId="172" fontId="38" fillId="0" borderId="405" xfId="0" applyNumberFormat="1" applyFont="1" applyBorder="1"/>
    <xf numFmtId="191" fontId="38" fillId="0" borderId="236" xfId="0" applyNumberFormat="1" applyFont="1" applyBorder="1"/>
    <xf numFmtId="191" fontId="38" fillId="0" borderId="9" xfId="0" applyNumberFormat="1" applyFont="1" applyBorder="1" applyAlignment="1">
      <alignment wrapText="1"/>
    </xf>
    <xf numFmtId="191" fontId="38" fillId="0" borderId="9" xfId="0" applyNumberFormat="1" applyFont="1" applyBorder="1"/>
    <xf numFmtId="191" fontId="38" fillId="0" borderId="405" xfId="0" applyNumberFormat="1" applyFont="1" applyBorder="1"/>
    <xf numFmtId="0" fontId="38" fillId="0" borderId="236" xfId="0" applyNumberFormat="1" applyFont="1" applyBorder="1" applyAlignment="1">
      <alignment horizontal="center"/>
    </xf>
    <xf numFmtId="0" fontId="38" fillId="0" borderId="9" xfId="0" applyNumberFormat="1" applyFont="1" applyBorder="1" applyAlignment="1">
      <alignment horizontal="center"/>
    </xf>
    <xf numFmtId="0" fontId="38" fillId="0" borderId="405" xfId="0" applyNumberFormat="1" applyFont="1" applyBorder="1" applyAlignment="1">
      <alignment horizontal="center"/>
    </xf>
    <xf numFmtId="171" fontId="38" fillId="0" borderId="236" xfId="0" applyNumberFormat="1" applyFont="1" applyBorder="1"/>
    <xf numFmtId="171" fontId="38" fillId="0" borderId="9" xfId="0" applyNumberFormat="1" applyFont="1" applyBorder="1"/>
    <xf numFmtId="171" fontId="38" fillId="0" borderId="405" xfId="0" applyNumberFormat="1" applyFont="1" applyBorder="1"/>
    <xf numFmtId="171" fontId="38" fillId="0" borderId="236" xfId="0" applyNumberFormat="1" applyFont="1" applyBorder="1" applyAlignment="1">
      <alignment horizontal="right"/>
    </xf>
    <xf numFmtId="171" fontId="38" fillId="0" borderId="400" xfId="0" applyNumberFormat="1" applyFont="1" applyBorder="1" applyAlignment="1">
      <alignment horizontal="right"/>
    </xf>
    <xf numFmtId="171" fontId="38" fillId="0" borderId="9" xfId="0" applyNumberFormat="1" applyFont="1" applyBorder="1" applyAlignment="1">
      <alignment horizontal="right"/>
    </xf>
    <xf numFmtId="171" fontId="38" fillId="0" borderId="402" xfId="0" applyNumberFormat="1" applyFont="1" applyBorder="1" applyAlignment="1">
      <alignment horizontal="right"/>
    </xf>
    <xf numFmtId="171" fontId="38" fillId="0" borderId="405" xfId="0" applyNumberFormat="1" applyFont="1" applyBorder="1" applyAlignment="1">
      <alignment horizontal="right"/>
    </xf>
    <xf numFmtId="171" fontId="38" fillId="0" borderId="406" xfId="0" applyNumberFormat="1" applyFont="1" applyBorder="1" applyAlignment="1">
      <alignment horizontal="right"/>
    </xf>
    <xf numFmtId="172" fontId="38" fillId="0" borderId="236" xfId="0" applyNumberFormat="1" applyFont="1" applyBorder="1" applyAlignment="1">
      <alignment horizontal="right"/>
    </xf>
    <xf numFmtId="172" fontId="38" fillId="0" borderId="9" xfId="0" applyNumberFormat="1" applyFont="1" applyBorder="1" applyAlignment="1">
      <alignment horizontal="right"/>
    </xf>
    <xf numFmtId="172" fontId="38" fillId="0" borderId="405" xfId="0" applyNumberFormat="1" applyFont="1" applyBorder="1" applyAlignment="1">
      <alignment horizontal="right"/>
    </xf>
    <xf numFmtId="171" fontId="38" fillId="0" borderId="236" xfId="0" applyNumberFormat="1" applyFont="1" applyBorder="1" applyAlignment="1"/>
    <xf numFmtId="171" fontId="38" fillId="0" borderId="9" xfId="0" applyNumberFormat="1" applyFont="1" applyBorder="1" applyAlignment="1"/>
    <xf numFmtId="171" fontId="38" fillId="0" borderId="405" xfId="0" applyNumberFormat="1" applyFont="1" applyBorder="1" applyAlignment="1"/>
    <xf numFmtId="171" fontId="38" fillId="0" borderId="406" xfId="0" applyNumberFormat="1" applyFont="1" applyBorder="1" applyAlignment="1"/>
    <xf numFmtId="0" fontId="38" fillId="8" borderId="0" xfId="0" applyFont="1" applyFill="1"/>
    <xf numFmtId="0" fontId="39" fillId="8" borderId="0" xfId="0" applyFont="1" applyFill="1"/>
    <xf numFmtId="178" fontId="8" fillId="54" borderId="13" xfId="0" applyNumberFormat="1" applyFont="1" applyFill="1" applyBorder="1"/>
    <xf numFmtId="44" fontId="8" fillId="54" borderId="13" xfId="2" applyFont="1" applyFill="1" applyBorder="1"/>
    <xf numFmtId="0" fontId="8" fillId="0" borderId="384" xfId="0" applyFont="1" applyBorder="1" applyAlignment="1">
      <alignment horizontal="left"/>
    </xf>
    <xf numFmtId="0" fontId="11" fillId="54" borderId="0" xfId="0" applyFont="1" applyFill="1" applyAlignment="1">
      <alignment horizontal="center"/>
    </xf>
    <xf numFmtId="0" fontId="8" fillId="8" borderId="0" xfId="0" applyFont="1" applyFill="1" applyAlignment="1">
      <alignment horizontal="center"/>
    </xf>
    <xf numFmtId="44" fontId="8" fillId="0" borderId="0" xfId="0" applyNumberFormat="1" applyFont="1" applyFill="1" applyBorder="1"/>
    <xf numFmtId="44" fontId="8" fillId="0" borderId="13" xfId="0" applyNumberFormat="1" applyFont="1" applyFill="1" applyBorder="1"/>
    <xf numFmtId="181" fontId="8" fillId="8" borderId="0" xfId="0" applyNumberFormat="1" applyFont="1" applyFill="1" applyBorder="1"/>
    <xf numFmtId="181" fontId="8" fillId="8" borderId="13" xfId="0" applyNumberFormat="1" applyFont="1" applyFill="1" applyBorder="1"/>
    <xf numFmtId="181" fontId="8" fillId="54" borderId="13" xfId="0" applyNumberFormat="1" applyFont="1" applyFill="1" applyBorder="1"/>
    <xf numFmtId="0" fontId="8" fillId="20" borderId="0" xfId="0" applyFont="1" applyFill="1" applyAlignment="1">
      <alignment horizontal="center"/>
    </xf>
    <xf numFmtId="173" fontId="8" fillId="20" borderId="13" xfId="0" applyNumberFormat="1" applyFont="1" applyFill="1" applyBorder="1" applyAlignment="1">
      <alignment horizontal="center"/>
    </xf>
    <xf numFmtId="181" fontId="8" fillId="8" borderId="162" xfId="0" applyNumberFormat="1" applyFont="1" applyFill="1" applyBorder="1"/>
    <xf numFmtId="181" fontId="8" fillId="8" borderId="242" xfId="0" applyNumberFormat="1" applyFont="1" applyFill="1" applyBorder="1"/>
    <xf numFmtId="181" fontId="8" fillId="20" borderId="16" xfId="0" applyNumberFormat="1" applyFont="1" applyFill="1" applyBorder="1"/>
    <xf numFmtId="0" fontId="39" fillId="0" borderId="112" xfId="0" applyFont="1" applyBorder="1" applyAlignment="1">
      <alignment horizontal="right"/>
    </xf>
    <xf numFmtId="181" fontId="38" fillId="0" borderId="113" xfId="0" applyNumberFormat="1" applyFont="1" applyBorder="1"/>
    <xf numFmtId="181" fontId="38" fillId="0" borderId="16" xfId="0" applyNumberFormat="1" applyFont="1" applyBorder="1"/>
    <xf numFmtId="0" fontId="21" fillId="23" borderId="163" xfId="0" applyFont="1" applyFill="1" applyBorder="1"/>
    <xf numFmtId="0" fontId="8" fillId="23" borderId="13" xfId="0" applyFont="1" applyFill="1" applyBorder="1"/>
    <xf numFmtId="172" fontId="38" fillId="0" borderId="15" xfId="0" applyNumberFormat="1" applyFont="1" applyBorder="1" applyAlignment="1">
      <alignment horizontal="right"/>
    </xf>
    <xf numFmtId="0" fontId="38" fillId="0" borderId="399" xfId="0" applyFont="1" applyBorder="1"/>
    <xf numFmtId="0" fontId="38" fillId="0" borderId="0" xfId="0" applyFont="1" applyAlignment="1"/>
    <xf numFmtId="0" fontId="38" fillId="0" borderId="115" xfId="0" applyFont="1" applyBorder="1" applyAlignment="1">
      <alignment horizontal="center"/>
    </xf>
    <xf numFmtId="0" fontId="38" fillId="0" borderId="14" xfId="0" applyFont="1" applyBorder="1" applyAlignment="1">
      <alignment horizontal="center"/>
    </xf>
    <xf numFmtId="0" fontId="39" fillId="8" borderId="358" xfId="0" applyFont="1" applyFill="1" applyBorder="1" applyAlignment="1">
      <alignment horizontal="center"/>
    </xf>
    <xf numFmtId="0" fontId="39" fillId="8" borderId="358" xfId="0" applyFont="1" applyFill="1" applyBorder="1"/>
    <xf numFmtId="172" fontId="38" fillId="0" borderId="0" xfId="0" applyNumberFormat="1" applyFont="1" applyBorder="1" applyAlignment="1">
      <alignment horizontal="left"/>
    </xf>
    <xf numFmtId="0" fontId="38" fillId="0" borderId="118" xfId="0" applyFont="1" applyBorder="1" applyAlignment="1">
      <alignment horizontal="center"/>
    </xf>
    <xf numFmtId="181" fontId="38" fillId="0" borderId="113" xfId="0" applyNumberFormat="1" applyFont="1" applyFill="1" applyBorder="1" applyAlignment="1">
      <alignment horizontal="left" vertical="center"/>
    </xf>
    <xf numFmtId="9" fontId="38" fillId="0" borderId="13" xfId="0" applyNumberFormat="1" applyFont="1" applyFill="1" applyBorder="1"/>
    <xf numFmtId="9" fontId="38" fillId="0" borderId="16" xfId="0" applyNumberFormat="1" applyFont="1" applyFill="1" applyBorder="1"/>
    <xf numFmtId="0" fontId="38" fillId="0" borderId="13" xfId="0" applyFont="1" applyBorder="1" applyAlignment="1">
      <alignment horizontal="center"/>
    </xf>
    <xf numFmtId="0" fontId="38" fillId="0" borderId="242" xfId="0" applyFont="1" applyBorder="1" applyAlignment="1">
      <alignment horizontal="center"/>
    </xf>
    <xf numFmtId="0" fontId="44" fillId="20" borderId="123" xfId="0" applyFont="1" applyFill="1" applyBorder="1"/>
    <xf numFmtId="0" fontId="44" fillId="20" borderId="113" xfId="0" applyFont="1" applyFill="1" applyBorder="1"/>
    <xf numFmtId="0" fontId="38" fillId="8" borderId="115" xfId="0" applyFont="1" applyFill="1" applyBorder="1" applyAlignment="1">
      <alignment horizontal="center"/>
    </xf>
    <xf numFmtId="10" fontId="38" fillId="0" borderId="14" xfId="0" applyNumberFormat="1" applyFont="1" applyBorder="1" applyAlignment="1">
      <alignment horizontal="center"/>
    </xf>
    <xf numFmtId="0" fontId="39" fillId="8" borderId="17" xfId="0" applyFont="1" applyFill="1" applyBorder="1" applyAlignment="1">
      <alignment horizontal="center"/>
    </xf>
    <xf numFmtId="0" fontId="11" fillId="20" borderId="113" xfId="0" applyFont="1" applyFill="1" applyBorder="1"/>
    <xf numFmtId="0" fontId="11" fillId="20" borderId="16" xfId="0" applyFont="1" applyFill="1" applyBorder="1"/>
    <xf numFmtId="0" fontId="48" fillId="20" borderId="113" xfId="0" applyFont="1" applyFill="1" applyBorder="1"/>
    <xf numFmtId="0" fontId="48" fillId="20" borderId="16" xfId="0" applyFont="1" applyFill="1" applyBorder="1"/>
    <xf numFmtId="0" fontId="44" fillId="20" borderId="112" xfId="0" applyFont="1" applyFill="1" applyBorder="1"/>
    <xf numFmtId="0" fontId="48" fillId="20" borderId="113" xfId="0" applyFont="1" applyFill="1" applyBorder="1" applyAlignment="1">
      <alignment horizontal="right"/>
    </xf>
    <xf numFmtId="0" fontId="48" fillId="20" borderId="16" xfId="0" applyFont="1" applyFill="1" applyBorder="1" applyAlignment="1">
      <alignment horizontal="right"/>
    </xf>
    <xf numFmtId="0" fontId="39" fillId="18" borderId="112" xfId="0" applyFont="1" applyFill="1" applyBorder="1" applyAlignment="1">
      <alignment horizontal="center"/>
    </xf>
    <xf numFmtId="0" fontId="39" fillId="8" borderId="247" xfId="0" applyFont="1" applyFill="1" applyBorder="1"/>
    <xf numFmtId="0" fontId="39" fillId="8" borderId="241" xfId="0" applyFont="1" applyFill="1" applyBorder="1"/>
    <xf numFmtId="0" fontId="39" fillId="18" borderId="17" xfId="0" applyFont="1" applyFill="1" applyBorder="1" applyAlignment="1">
      <alignment horizontal="center"/>
    </xf>
    <xf numFmtId="9" fontId="8" fillId="0" borderId="13" xfId="0" applyNumberFormat="1" applyFont="1" applyFill="1" applyBorder="1"/>
    <xf numFmtId="0" fontId="8" fillId="0" borderId="0" xfId="0" applyFont="1" applyFill="1" applyBorder="1"/>
    <xf numFmtId="0" fontId="44" fillId="20" borderId="16" xfId="0" applyFont="1" applyFill="1" applyBorder="1" applyAlignment="1">
      <alignment horizontal="right"/>
    </xf>
    <xf numFmtId="0" fontId="40" fillId="0" borderId="0" xfId="0" applyFont="1" applyFill="1" applyBorder="1"/>
    <xf numFmtId="0" fontId="39" fillId="8" borderId="112" xfId="0" applyFont="1" applyFill="1" applyBorder="1"/>
    <xf numFmtId="0" fontId="39" fillId="8" borderId="16" xfId="0" applyFont="1" applyFill="1" applyBorder="1"/>
    <xf numFmtId="0" fontId="38" fillId="0" borderId="0" xfId="0" applyFont="1" applyFill="1" applyBorder="1" applyAlignment="1">
      <alignment horizontal="center"/>
    </xf>
    <xf numFmtId="2" fontId="38" fillId="0" borderId="13" xfId="0" applyNumberFormat="1" applyFont="1" applyBorder="1"/>
    <xf numFmtId="10" fontId="38" fillId="0" borderId="118" xfId="0" applyNumberFormat="1" applyFont="1" applyBorder="1" applyAlignment="1">
      <alignment horizontal="center"/>
    </xf>
    <xf numFmtId="165" fontId="38" fillId="8" borderId="238" xfId="0" applyNumberFormat="1" applyFont="1" applyFill="1" applyBorder="1" applyAlignment="1">
      <alignment horizontal="center"/>
    </xf>
    <xf numFmtId="0" fontId="39" fillId="0" borderId="241" xfId="0" applyFont="1" applyBorder="1"/>
    <xf numFmtId="164" fontId="38" fillId="0" borderId="14" xfId="0" applyNumberFormat="1" applyFont="1" applyFill="1" applyBorder="1" applyAlignment="1">
      <alignment horizontal="right"/>
    </xf>
    <xf numFmtId="164" fontId="38" fillId="0" borderId="14" xfId="0" applyNumberFormat="1" applyFont="1" applyBorder="1" applyAlignment="1">
      <alignment horizontal="right"/>
    </xf>
    <xf numFmtId="172" fontId="38" fillId="0" borderId="115" xfId="0" applyNumberFormat="1" applyFont="1" applyFill="1" applyBorder="1" applyAlignment="1">
      <alignment horizontal="right"/>
    </xf>
    <xf numFmtId="172" fontId="38" fillId="0" borderId="15" xfId="0" applyNumberFormat="1" applyFont="1" applyBorder="1"/>
    <xf numFmtId="0" fontId="39" fillId="18" borderId="143" xfId="0" applyFont="1" applyFill="1" applyBorder="1" applyAlignment="1">
      <alignment horizontal="center"/>
    </xf>
    <xf numFmtId="0" fontId="39" fillId="18" borderId="248" xfId="0" applyFont="1" applyFill="1" applyBorder="1" applyAlignment="1">
      <alignment horizontal="center"/>
    </xf>
    <xf numFmtId="0" fontId="39" fillId="18" borderId="249" xfId="0" applyFont="1" applyFill="1" applyBorder="1" applyAlignment="1">
      <alignment horizontal="center"/>
    </xf>
    <xf numFmtId="165" fontId="38" fillId="0" borderId="14" xfId="0" applyNumberFormat="1" applyFont="1" applyBorder="1" applyAlignment="1">
      <alignment horizontal="center"/>
    </xf>
    <xf numFmtId="172" fontId="38" fillId="0" borderId="118" xfId="0" applyNumberFormat="1" applyFont="1" applyBorder="1" applyAlignment="1">
      <alignment horizontal="left"/>
    </xf>
    <xf numFmtId="165" fontId="38" fillId="0" borderId="15" xfId="0" applyNumberFormat="1" applyFont="1" applyBorder="1" applyAlignment="1">
      <alignment horizontal="center"/>
    </xf>
    <xf numFmtId="165" fontId="38" fillId="8" borderId="241" xfId="0" applyNumberFormat="1" applyFont="1" applyFill="1" applyBorder="1" applyAlignment="1">
      <alignment horizontal="center"/>
    </xf>
    <xf numFmtId="0" fontId="39" fillId="0" borderId="151" xfId="0" applyFont="1" applyBorder="1"/>
    <xf numFmtId="0" fontId="39" fillId="0" borderId="404" xfId="0" applyFont="1" applyBorder="1"/>
    <xf numFmtId="0" fontId="39" fillId="20" borderId="241" xfId="0" applyFont="1" applyFill="1" applyBorder="1"/>
    <xf numFmtId="0" fontId="39" fillId="20" borderId="247" xfId="0" applyFont="1" applyFill="1" applyBorder="1"/>
    <xf numFmtId="0" fontId="39" fillId="20" borderId="142" xfId="0" applyFont="1" applyFill="1" applyBorder="1" applyAlignment="1">
      <alignment horizontal="center"/>
    </xf>
    <xf numFmtId="0" fontId="39" fillId="20" borderId="248" xfId="0" applyFont="1" applyFill="1" applyBorder="1" applyAlignment="1">
      <alignment horizontal="center"/>
    </xf>
    <xf numFmtId="0" fontId="39" fillId="20" borderId="249" xfId="0" applyFont="1" applyFill="1" applyBorder="1" applyAlignment="1">
      <alignment horizontal="center"/>
    </xf>
    <xf numFmtId="165" fontId="38" fillId="19" borderId="238" xfId="0" applyNumberFormat="1" applyFont="1" applyFill="1" applyBorder="1" applyAlignment="1">
      <alignment horizontal="center"/>
    </xf>
    <xf numFmtId="0" fontId="39" fillId="21" borderId="241" xfId="0" applyFont="1" applyFill="1" applyBorder="1" applyAlignment="1">
      <alignment horizontal="center"/>
    </xf>
    <xf numFmtId="0" fontId="38" fillId="21" borderId="384" xfId="0" applyFont="1" applyFill="1" applyBorder="1" applyAlignment="1">
      <alignment horizontal="center"/>
    </xf>
    <xf numFmtId="0" fontId="38" fillId="21" borderId="370" xfId="0" applyFont="1" applyFill="1" applyBorder="1" applyAlignment="1">
      <alignment horizontal="center"/>
    </xf>
    <xf numFmtId="165" fontId="38" fillId="8" borderId="272" xfId="0" applyNumberFormat="1" applyFont="1" applyFill="1" applyBorder="1" applyAlignment="1">
      <alignment horizontal="center"/>
    </xf>
    <xf numFmtId="0" fontId="38" fillId="0" borderId="244" xfId="0" applyFont="1" applyBorder="1" applyAlignment="1">
      <alignment horizontal="center"/>
    </xf>
    <xf numFmtId="0" fontId="38" fillId="0" borderId="246" xfId="0" applyFont="1" applyBorder="1" applyAlignment="1">
      <alignment horizontal="center"/>
    </xf>
    <xf numFmtId="0" fontId="39" fillId="18" borderId="414" xfId="0" applyFont="1" applyFill="1" applyBorder="1" applyAlignment="1">
      <alignment horizontal="center"/>
    </xf>
    <xf numFmtId="0" fontId="39" fillId="20" borderId="114" xfId="0" applyFont="1" applyFill="1" applyBorder="1" applyAlignment="1">
      <alignment horizontal="center"/>
    </xf>
    <xf numFmtId="0" fontId="39" fillId="20" borderId="115" xfId="0" applyFont="1" applyFill="1" applyBorder="1" applyAlignment="1">
      <alignment horizontal="center"/>
    </xf>
    <xf numFmtId="0" fontId="39" fillId="20" borderId="143" xfId="0" applyFont="1" applyFill="1" applyBorder="1" applyAlignment="1">
      <alignment horizontal="center"/>
    </xf>
    <xf numFmtId="0" fontId="39" fillId="8" borderId="143" xfId="0" applyFont="1" applyFill="1" applyBorder="1" applyAlignment="1">
      <alignment horizontal="center"/>
    </xf>
    <xf numFmtId="0" fontId="39" fillId="8" borderId="248" xfId="0" applyFont="1" applyFill="1" applyBorder="1" applyAlignment="1">
      <alignment horizontal="center"/>
    </xf>
    <xf numFmtId="0" fontId="38" fillId="8" borderId="247" xfId="0" applyFont="1" applyFill="1" applyBorder="1"/>
    <xf numFmtId="0" fontId="38" fillId="8" borderId="238" xfId="0" applyFont="1" applyFill="1" applyBorder="1"/>
    <xf numFmtId="0" fontId="39" fillId="8" borderId="144" xfId="0" applyFont="1" applyFill="1" applyBorder="1" applyAlignment="1">
      <alignment horizontal="center"/>
    </xf>
    <xf numFmtId="0" fontId="39" fillId="20" borderId="17" xfId="0" applyFont="1" applyFill="1" applyBorder="1"/>
    <xf numFmtId="0" fontId="39" fillId="8" borderId="249" xfId="0" applyFont="1" applyFill="1" applyBorder="1" applyAlignment="1">
      <alignment horizontal="center"/>
    </xf>
    <xf numFmtId="0" fontId="39" fillId="18" borderId="144" xfId="0" applyFont="1" applyFill="1" applyBorder="1" applyAlignment="1">
      <alignment horizontal="center"/>
    </xf>
    <xf numFmtId="0" fontId="38" fillId="0" borderId="242" xfId="0" applyFont="1" applyBorder="1"/>
    <xf numFmtId="0" fontId="39" fillId="18" borderId="249" xfId="0" applyFont="1" applyFill="1" applyBorder="1" applyAlignment="1">
      <alignment horizontal="center" vertical="center"/>
    </xf>
    <xf numFmtId="10" fontId="39" fillId="0" borderId="14" xfId="0" applyNumberFormat="1" applyFont="1" applyBorder="1"/>
    <xf numFmtId="10" fontId="39" fillId="0" borderId="14" xfId="0" applyNumberFormat="1" applyFont="1" applyBorder="1" applyAlignment="1">
      <alignment horizontal="center"/>
    </xf>
    <xf numFmtId="0" fontId="39" fillId="20" borderId="144" xfId="0" applyFont="1" applyFill="1" applyBorder="1" applyAlignment="1">
      <alignment horizontal="center"/>
    </xf>
    <xf numFmtId="0" fontId="39" fillId="0" borderId="123" xfId="0" applyFont="1" applyBorder="1" applyAlignment="1">
      <alignment horizontal="center"/>
    </xf>
    <xf numFmtId="0" fontId="39" fillId="0" borderId="123" xfId="0" applyFont="1" applyBorder="1"/>
    <xf numFmtId="0" fontId="39" fillId="18" borderId="237" xfId="0" applyFont="1" applyFill="1" applyBorder="1" applyAlignment="1">
      <alignment horizontal="center"/>
    </xf>
    <xf numFmtId="0" fontId="38" fillId="0" borderId="238" xfId="0" applyFont="1" applyBorder="1" applyAlignment="1">
      <alignment horizontal="center"/>
    </xf>
    <xf numFmtId="0" fontId="38" fillId="0" borderId="272" xfId="0" applyFont="1" applyBorder="1" applyAlignment="1">
      <alignment horizontal="center"/>
    </xf>
    <xf numFmtId="0" fontId="39" fillId="18" borderId="162" xfId="0" applyFont="1" applyFill="1" applyBorder="1" applyAlignment="1">
      <alignment horizontal="center"/>
    </xf>
    <xf numFmtId="0" fontId="38" fillId="0" borderId="245" xfId="0" applyFont="1" applyBorder="1" applyAlignment="1">
      <alignment horizontal="center"/>
    </xf>
    <xf numFmtId="0" fontId="39" fillId="20" borderId="151" xfId="0" applyFont="1" applyFill="1" applyBorder="1" applyAlignment="1">
      <alignment horizontal="center"/>
    </xf>
    <xf numFmtId="0" fontId="38" fillId="0" borderId="167" xfId="0" applyFont="1" applyBorder="1" applyAlignment="1">
      <alignment horizontal="center"/>
    </xf>
    <xf numFmtId="165" fontId="38" fillId="19" borderId="272" xfId="0" applyNumberFormat="1" applyFont="1" applyFill="1" applyBorder="1" applyAlignment="1">
      <alignment horizontal="center"/>
    </xf>
    <xf numFmtId="0" fontId="38" fillId="21" borderId="241" xfId="0" applyFont="1" applyFill="1" applyBorder="1" applyAlignment="1">
      <alignment horizontal="center"/>
    </xf>
    <xf numFmtId="0" fontId="38" fillId="21" borderId="242" xfId="0" applyFont="1" applyFill="1" applyBorder="1" applyAlignment="1">
      <alignment horizontal="center"/>
    </xf>
    <xf numFmtId="0" fontId="38" fillId="21" borderId="15" xfId="0" applyFont="1" applyFill="1" applyBorder="1" applyAlignment="1">
      <alignment horizontal="center"/>
    </xf>
    <xf numFmtId="0" fontId="38" fillId="0" borderId="113" xfId="0" applyFont="1" applyBorder="1" applyAlignment="1">
      <alignment horizontal="center"/>
    </xf>
    <xf numFmtId="171" fontId="42" fillId="9" borderId="27" xfId="1" applyNumberFormat="1" applyFont="1" applyFill="1" applyBorder="1" applyAlignment="1">
      <alignment horizontal="center" wrapText="1"/>
    </xf>
    <xf numFmtId="171" fontId="42" fillId="9" borderId="52" xfId="1" applyNumberFormat="1" applyFont="1" applyFill="1" applyBorder="1" applyAlignment="1">
      <alignment horizontal="center" wrapText="1"/>
    </xf>
    <xf numFmtId="171" fontId="42" fillId="9" borderId="140" xfId="1" applyNumberFormat="1" applyFont="1" applyFill="1" applyBorder="1" applyAlignment="1">
      <alignment horizontal="center" wrapText="1"/>
    </xf>
    <xf numFmtId="0" fontId="42" fillId="5" borderId="127" xfId="1" applyFont="1" applyFill="1" applyBorder="1" applyAlignment="1">
      <alignment horizontal="center"/>
    </xf>
    <xf numFmtId="3" fontId="42" fillId="9" borderId="50" xfId="1" applyNumberFormat="1" applyFont="1" applyFill="1" applyBorder="1" applyAlignment="1">
      <alignment horizontal="center"/>
    </xf>
    <xf numFmtId="3" fontId="42" fillId="9" borderId="49" xfId="1" applyNumberFormat="1" applyFont="1" applyFill="1" applyBorder="1" applyAlignment="1">
      <alignment horizontal="center"/>
    </xf>
    <xf numFmtId="3" fontId="42" fillId="9" borderId="437" xfId="1" applyNumberFormat="1" applyFont="1" applyFill="1" applyBorder="1" applyAlignment="1">
      <alignment horizontal="center"/>
    </xf>
    <xf numFmtId="0" fontId="53" fillId="9" borderId="129" xfId="1" applyFont="1" applyFill="1" applyBorder="1" applyAlignment="1">
      <alignment horizontal="right"/>
    </xf>
    <xf numFmtId="10" fontId="43" fillId="0" borderId="43" xfId="1" applyNumberFormat="1" applyFont="1" applyBorder="1" applyAlignment="1">
      <alignment horizontal="center"/>
    </xf>
    <xf numFmtId="10" fontId="54" fillId="0" borderId="43" xfId="1" applyNumberFormat="1" applyFont="1" applyBorder="1" applyAlignment="1">
      <alignment horizontal="center"/>
    </xf>
    <xf numFmtId="10" fontId="54" fillId="0" borderId="268" xfId="1" applyNumberFormat="1" applyFont="1" applyBorder="1" applyAlignment="1">
      <alignment horizontal="center"/>
    </xf>
    <xf numFmtId="10" fontId="43" fillId="0" borderId="43" xfId="1" applyNumberFormat="1" applyFont="1" applyBorder="1"/>
    <xf numFmtId="10" fontId="43" fillId="0" borderId="42" xfId="1" applyNumberFormat="1" applyFont="1" applyBorder="1"/>
    <xf numFmtId="10" fontId="54" fillId="0" borderId="42" xfId="1" applyNumberFormat="1" applyFont="1" applyBorder="1"/>
    <xf numFmtId="10" fontId="54" fillId="0" borderId="438" xfId="1" applyNumberFormat="1" applyFont="1" applyBorder="1"/>
    <xf numFmtId="10" fontId="54" fillId="0" borderId="366" xfId="1" applyNumberFormat="1" applyFont="1" applyBorder="1"/>
    <xf numFmtId="10" fontId="54" fillId="0" borderId="439" xfId="1" applyNumberFormat="1" applyFont="1" applyBorder="1"/>
    <xf numFmtId="0" fontId="53" fillId="9" borderId="131" xfId="1" applyFont="1" applyFill="1" applyBorder="1" applyAlignment="1">
      <alignment horizontal="right"/>
    </xf>
    <xf numFmtId="10" fontId="43" fillId="15" borderId="40" xfId="1" applyNumberFormat="1" applyFont="1" applyFill="1" applyBorder="1"/>
    <xf numFmtId="10" fontId="43" fillId="0" borderId="24" xfId="1" applyNumberFormat="1" applyFont="1" applyBorder="1"/>
    <xf numFmtId="0" fontId="42" fillId="5" borderId="440" xfId="1" applyFont="1" applyFill="1" applyBorder="1" applyAlignment="1">
      <alignment horizontal="center"/>
    </xf>
    <xf numFmtId="0" fontId="42" fillId="11" borderId="129" xfId="1" applyFont="1" applyFill="1" applyBorder="1" applyAlignment="1">
      <alignment horizontal="center"/>
    </xf>
    <xf numFmtId="0" fontId="53" fillId="9" borderId="127" xfId="1" applyFont="1" applyFill="1" applyBorder="1" applyAlignment="1">
      <alignment horizontal="right"/>
    </xf>
    <xf numFmtId="10" fontId="54" fillId="0" borderId="367" xfId="1" applyNumberFormat="1" applyFont="1" applyBorder="1"/>
    <xf numFmtId="0" fontId="42" fillId="11" borderId="440" xfId="1" applyFont="1" applyFill="1" applyBorder="1" applyAlignment="1">
      <alignment horizontal="center"/>
    </xf>
    <xf numFmtId="0" fontId="53" fillId="18" borderId="146" xfId="1" applyFont="1" applyFill="1" applyBorder="1" applyAlignment="1">
      <alignment horizontal="right" vertical="center" wrapText="1"/>
    </xf>
    <xf numFmtId="10" fontId="43" fillId="0" borderId="141" xfId="1" applyNumberFormat="1" applyFont="1" applyFill="1" applyBorder="1" applyAlignment="1">
      <alignment horizontal="center" wrapText="1"/>
    </xf>
    <xf numFmtId="10" fontId="43" fillId="0" borderId="142" xfId="1" applyNumberFormat="1" applyFont="1" applyFill="1" applyBorder="1" applyAlignment="1">
      <alignment horizontal="center"/>
    </xf>
    <xf numFmtId="10" fontId="43" fillId="0" borderId="147" xfId="1" applyNumberFormat="1" applyFont="1" applyFill="1" applyBorder="1" applyAlignment="1">
      <alignment horizontal="center"/>
    </xf>
    <xf numFmtId="0" fontId="53" fillId="20" borderId="148" xfId="1" applyFont="1" applyFill="1" applyBorder="1" applyAlignment="1">
      <alignment horizontal="right" vertical="center" wrapText="1"/>
    </xf>
    <xf numFmtId="10" fontId="43" fillId="3" borderId="149" xfId="1" applyNumberFormat="1" applyFont="1" applyFill="1" applyBorder="1" applyAlignment="1">
      <alignment horizontal="center" wrapText="1"/>
    </xf>
    <xf numFmtId="10" fontId="43" fillId="3" borderId="118" xfId="1" applyNumberFormat="1" applyFont="1" applyFill="1" applyBorder="1" applyAlignment="1">
      <alignment horizontal="center"/>
    </xf>
    <xf numFmtId="10" fontId="43" fillId="0" borderId="150" xfId="1" applyNumberFormat="1" applyFont="1" applyBorder="1" applyAlignment="1">
      <alignment horizontal="center"/>
    </xf>
    <xf numFmtId="10" fontId="38" fillId="0" borderId="16" xfId="0" applyNumberFormat="1" applyFont="1" applyBorder="1" applyAlignment="1">
      <alignment horizontal="center"/>
    </xf>
    <xf numFmtId="175" fontId="38" fillId="25" borderId="0" xfId="0" applyNumberFormat="1" applyFont="1" applyFill="1" applyBorder="1" applyAlignment="1">
      <alignment horizontal="center"/>
    </xf>
    <xf numFmtId="10" fontId="38" fillId="20" borderId="16" xfId="0" applyNumberFormat="1" applyFont="1" applyFill="1" applyBorder="1"/>
    <xf numFmtId="0" fontId="39" fillId="18" borderId="151" xfId="0" applyFont="1" applyFill="1" applyBorder="1" applyAlignment="1">
      <alignment horizontal="center"/>
    </xf>
    <xf numFmtId="10" fontId="38" fillId="18" borderId="16" xfId="0" applyNumberFormat="1" applyFont="1" applyFill="1" applyBorder="1"/>
    <xf numFmtId="0" fontId="40" fillId="0" borderId="0" xfId="0" applyFont="1"/>
    <xf numFmtId="177" fontId="38" fillId="0" borderId="157" xfId="0" applyNumberFormat="1" applyFont="1" applyBorder="1"/>
    <xf numFmtId="177" fontId="38" fillId="0" borderId="115" xfId="0" applyNumberFormat="1" applyFont="1" applyBorder="1"/>
    <xf numFmtId="177" fontId="38" fillId="0" borderId="14" xfId="0" applyNumberFormat="1" applyFont="1" applyBorder="1"/>
    <xf numFmtId="177" fontId="38" fillId="0" borderId="118" xfId="0" applyNumberFormat="1" applyFont="1" applyBorder="1"/>
    <xf numFmtId="177" fontId="38" fillId="0" borderId="15" xfId="0" applyNumberFormat="1" applyFont="1" applyBorder="1"/>
    <xf numFmtId="0" fontId="39" fillId="21" borderId="408" xfId="0" applyFont="1" applyFill="1" applyBorder="1" applyAlignment="1">
      <alignment horizontal="center"/>
    </xf>
    <xf numFmtId="0" fontId="39" fillId="21" borderId="151" xfId="0" applyFont="1" applyFill="1" applyBorder="1" applyAlignment="1">
      <alignment horizontal="center"/>
    </xf>
    <xf numFmtId="185" fontId="43" fillId="0" borderId="14" xfId="1" applyNumberFormat="1" applyFont="1" applyBorder="1"/>
    <xf numFmtId="185" fontId="43" fillId="0" borderId="281" xfId="1" applyNumberFormat="1" applyFont="1" applyBorder="1"/>
    <xf numFmtId="0" fontId="39" fillId="0" borderId="16" xfId="0" applyFont="1" applyBorder="1" applyAlignment="1">
      <alignment horizontal="center" vertical="center"/>
    </xf>
    <xf numFmtId="0" fontId="39" fillId="18" borderId="142" xfId="0" applyFont="1" applyFill="1" applyBorder="1" applyAlignment="1">
      <alignment horizontal="center"/>
    </xf>
    <xf numFmtId="0" fontId="42" fillId="0" borderId="410" xfId="3" applyFont="1" applyBorder="1" applyAlignment="1">
      <alignment wrapText="1"/>
    </xf>
    <xf numFmtId="0" fontId="9" fillId="20" borderId="164" xfId="0" applyFont="1" applyFill="1" applyBorder="1" applyAlignment="1">
      <alignment horizontal="center" wrapText="1"/>
    </xf>
    <xf numFmtId="0" fontId="9" fillId="20" borderId="165" xfId="0" applyFont="1" applyFill="1" applyBorder="1" applyAlignment="1">
      <alignment horizontal="center" wrapText="1"/>
    </xf>
    <xf numFmtId="0" fontId="9" fillId="20" borderId="166" xfId="0" applyFont="1" applyFill="1" applyBorder="1" applyAlignment="1">
      <alignment horizontal="center" wrapText="1"/>
    </xf>
    <xf numFmtId="0" fontId="42" fillId="0" borderId="413" xfId="3" applyFont="1" applyBorder="1" applyAlignment="1">
      <alignment wrapText="1"/>
    </xf>
    <xf numFmtId="0" fontId="39" fillId="20" borderId="114" xfId="0" applyFont="1" applyFill="1" applyBorder="1"/>
    <xf numFmtId="165" fontId="38" fillId="0" borderId="0" xfId="0" applyNumberFormat="1" applyFont="1" applyBorder="1" applyAlignment="1">
      <alignment horizontal="center"/>
    </xf>
    <xf numFmtId="165" fontId="38" fillId="19" borderId="241" xfId="0" applyNumberFormat="1" applyFont="1" applyFill="1" applyBorder="1" applyAlignment="1">
      <alignment horizontal="center"/>
    </xf>
    <xf numFmtId="0" fontId="39" fillId="0" borderId="14" xfId="0" applyFont="1" applyBorder="1" applyAlignment="1">
      <alignment horizontal="center" vertical="center"/>
    </xf>
    <xf numFmtId="0" fontId="39" fillId="0" borderId="14" xfId="0" applyFont="1" applyBorder="1" applyAlignment="1">
      <alignment horizontal="center"/>
    </xf>
    <xf numFmtId="10" fontId="43" fillId="3" borderId="0" xfId="1" applyNumberFormat="1" applyFont="1" applyFill="1" applyBorder="1" applyAlignment="1">
      <alignment horizontal="center" wrapText="1"/>
    </xf>
    <xf numFmtId="10" fontId="43" fillId="3" borderId="0" xfId="1" applyNumberFormat="1" applyFont="1" applyFill="1" applyBorder="1" applyAlignment="1">
      <alignment horizontal="center"/>
    </xf>
    <xf numFmtId="10" fontId="43" fillId="0" borderId="0" xfId="1" applyNumberFormat="1" applyFont="1" applyBorder="1" applyAlignment="1">
      <alignment horizontal="center"/>
    </xf>
    <xf numFmtId="0" fontId="38" fillId="21" borderId="459" xfId="0" applyFont="1" applyFill="1" applyBorder="1"/>
    <xf numFmtId="0" fontId="39" fillId="0" borderId="0" xfId="0" applyFont="1" applyFill="1" applyBorder="1" applyAlignment="1">
      <alignment horizontal="center"/>
    </xf>
    <xf numFmtId="181" fontId="38" fillId="0" borderId="115" xfId="0" applyNumberFormat="1" applyFont="1" applyFill="1" applyBorder="1"/>
    <xf numFmtId="181" fontId="38" fillId="0" borderId="14" xfId="0" applyNumberFormat="1" applyFont="1" applyFill="1" applyBorder="1"/>
    <xf numFmtId="0" fontId="39" fillId="0" borderId="247" xfId="0" applyFont="1" applyFill="1" applyBorder="1"/>
    <xf numFmtId="0" fontId="39" fillId="0" borderId="238" xfId="0" applyFont="1" applyFill="1" applyBorder="1"/>
    <xf numFmtId="0" fontId="39" fillId="0" borderId="241" xfId="0" applyFont="1" applyFill="1" applyBorder="1"/>
    <xf numFmtId="165" fontId="38" fillId="19" borderId="247" xfId="0" applyNumberFormat="1" applyFont="1" applyFill="1" applyBorder="1" applyAlignment="1">
      <alignment horizontal="left"/>
    </xf>
    <xf numFmtId="165" fontId="38" fillId="19" borderId="238" xfId="0" applyNumberFormat="1" applyFont="1" applyFill="1" applyBorder="1" applyAlignment="1">
      <alignment horizontal="left"/>
    </xf>
    <xf numFmtId="0" fontId="39" fillId="19" borderId="123" xfId="0" applyFont="1" applyFill="1" applyBorder="1"/>
    <xf numFmtId="175" fontId="38" fillId="0" borderId="0" xfId="0" applyNumberFormat="1" applyFont="1"/>
    <xf numFmtId="0" fontId="51" fillId="0" borderId="0" xfId="4" applyFont="1" applyAlignment="1"/>
    <xf numFmtId="0" fontId="51" fillId="0" borderId="0" xfId="4" applyFont="1" applyAlignment="1">
      <alignment horizontal="left"/>
    </xf>
    <xf numFmtId="9" fontId="38" fillId="0" borderId="0" xfId="0" applyNumberFormat="1" applyFont="1"/>
    <xf numFmtId="0" fontId="42" fillId="0" borderId="0" xfId="1" applyFont="1" applyFill="1" applyBorder="1" applyAlignment="1">
      <alignment vertical="center"/>
    </xf>
    <xf numFmtId="0" fontId="42" fillId="8" borderId="123" xfId="1" applyFont="1" applyFill="1" applyBorder="1" applyAlignment="1">
      <alignment horizontal="center" vertical="center" wrapText="1"/>
    </xf>
    <xf numFmtId="0" fontId="42" fillId="8" borderId="167" xfId="1" applyFont="1" applyFill="1" applyBorder="1" applyAlignment="1">
      <alignment horizontal="center" vertical="center" wrapText="1"/>
    </xf>
    <xf numFmtId="0" fontId="42" fillId="8" borderId="16" xfId="1" applyFont="1" applyFill="1" applyBorder="1" applyAlignment="1">
      <alignment horizontal="center" vertical="center" wrapText="1"/>
    </xf>
    <xf numFmtId="0" fontId="39" fillId="0" borderId="0" xfId="0" applyFont="1" applyFill="1" applyAlignment="1">
      <alignment vertical="center"/>
    </xf>
    <xf numFmtId="0" fontId="48" fillId="0" borderId="238" xfId="0" applyFont="1" applyFill="1" applyBorder="1"/>
    <xf numFmtId="0" fontId="48" fillId="0" borderId="13" xfId="0" applyFont="1" applyFill="1" applyBorder="1"/>
    <xf numFmtId="0" fontId="48" fillId="0" borderId="13" xfId="0" applyFont="1" applyFill="1" applyBorder="1" applyAlignment="1">
      <alignment horizontal="center"/>
    </xf>
    <xf numFmtId="181" fontId="48" fillId="0" borderId="13" xfId="6" applyNumberFormat="1" applyFont="1" applyFill="1" applyBorder="1" applyAlignment="1">
      <alignment horizontal="left" indent="2"/>
    </xf>
    <xf numFmtId="181" fontId="48" fillId="0" borderId="14" xfId="6" applyNumberFormat="1" applyFont="1" applyFill="1" applyBorder="1" applyAlignment="1">
      <alignment horizontal="left" indent="3"/>
    </xf>
    <xf numFmtId="0" fontId="42" fillId="0" borderId="0" xfId="1" applyFont="1" applyFill="1" applyBorder="1" applyAlignment="1">
      <alignment horizontal="center" vertical="center" wrapText="1"/>
    </xf>
    <xf numFmtId="169" fontId="38" fillId="0" borderId="0" xfId="6" applyFont="1" applyFill="1" applyBorder="1"/>
    <xf numFmtId="181" fontId="38" fillId="0" borderId="238" xfId="6" applyNumberFormat="1" applyFont="1" applyFill="1" applyBorder="1" applyAlignment="1">
      <alignment horizontal="left" vertical="center"/>
    </xf>
    <xf numFmtId="0" fontId="38" fillId="0" borderId="13" xfId="0" applyFont="1" applyFill="1" applyBorder="1"/>
    <xf numFmtId="0" fontId="48" fillId="0" borderId="241" xfId="0" applyFont="1" applyFill="1" applyBorder="1"/>
    <xf numFmtId="0" fontId="48" fillId="0" borderId="242" xfId="0" applyFont="1" applyFill="1" applyBorder="1"/>
    <xf numFmtId="0" fontId="48" fillId="0" borderId="242" xfId="0" applyFont="1" applyFill="1" applyBorder="1" applyAlignment="1">
      <alignment horizontal="center"/>
    </xf>
    <xf numFmtId="181" fontId="48" fillId="0" borderId="242" xfId="6" applyNumberFormat="1" applyFont="1" applyFill="1" applyBorder="1" applyAlignment="1">
      <alignment horizontal="left" indent="2"/>
    </xf>
    <xf numFmtId="181" fontId="48" fillId="0" borderId="15" xfId="6" applyNumberFormat="1" applyFont="1" applyFill="1" applyBorder="1" applyAlignment="1">
      <alignment horizontal="left" indent="3"/>
    </xf>
    <xf numFmtId="181" fontId="38" fillId="0" borderId="0" xfId="6" applyNumberFormat="1" applyFont="1" applyBorder="1"/>
    <xf numFmtId="181" fontId="38" fillId="0" borderId="14" xfId="6" applyNumberFormat="1" applyFont="1" applyBorder="1"/>
    <xf numFmtId="181" fontId="38" fillId="0" borderId="157" xfId="6" applyNumberFormat="1" applyFont="1" applyBorder="1"/>
    <xf numFmtId="181" fontId="38" fillId="0" borderId="115" xfId="6" applyNumberFormat="1" applyFont="1" applyBorder="1"/>
    <xf numFmtId="0" fontId="38" fillId="0" borderId="241" xfId="0" applyFont="1" applyBorder="1"/>
    <xf numFmtId="0" fontId="48" fillId="49" borderId="0" xfId="0" applyFont="1" applyFill="1"/>
    <xf numFmtId="9" fontId="48" fillId="49" borderId="0" xfId="0" applyNumberFormat="1" applyFont="1" applyFill="1"/>
    <xf numFmtId="0" fontId="42" fillId="8" borderId="417" xfId="1" applyFont="1" applyFill="1" applyBorder="1" applyAlignment="1">
      <alignment horizontal="center" vertical="center" wrapText="1"/>
    </xf>
    <xf numFmtId="0" fontId="42" fillId="8" borderId="418" xfId="1" applyFont="1" applyFill="1" applyBorder="1" applyAlignment="1">
      <alignment horizontal="center" vertical="center" wrapText="1"/>
    </xf>
    <xf numFmtId="0" fontId="42" fillId="8" borderId="419" xfId="1" applyFont="1" applyFill="1" applyBorder="1" applyAlignment="1">
      <alignment horizontal="center" vertical="center" wrapText="1"/>
    </xf>
    <xf numFmtId="0" fontId="42" fillId="8" borderId="420" xfId="1" applyFont="1" applyFill="1" applyBorder="1" applyAlignment="1">
      <alignment horizontal="center" vertical="center" wrapText="1"/>
    </xf>
    <xf numFmtId="1" fontId="48" fillId="0" borderId="13" xfId="0" applyNumberFormat="1" applyFont="1" applyFill="1" applyBorder="1" applyAlignment="1">
      <alignment horizontal="center" vertical="center"/>
    </xf>
    <xf numFmtId="181" fontId="38" fillId="0" borderId="13" xfId="6" applyNumberFormat="1" applyFont="1" applyBorder="1" applyAlignment="1">
      <alignment horizontal="left" indent="2"/>
    </xf>
    <xf numFmtId="181" fontId="38" fillId="0" borderId="113" xfId="6" applyNumberFormat="1" applyFont="1" applyBorder="1"/>
    <xf numFmtId="181" fontId="38" fillId="0" borderId="16" xfId="6" applyNumberFormat="1" applyFont="1" applyBorder="1"/>
    <xf numFmtId="181" fontId="38" fillId="0" borderId="118" xfId="6" applyNumberFormat="1" applyFont="1" applyBorder="1"/>
    <xf numFmtId="181" fontId="38" fillId="0" borderId="15" xfId="6" applyNumberFormat="1" applyFont="1" applyBorder="1"/>
    <xf numFmtId="0" fontId="42" fillId="8" borderId="241" xfId="1" applyFont="1" applyFill="1" applyBorder="1" applyAlignment="1">
      <alignment horizontal="center" vertical="center" wrapText="1"/>
    </xf>
    <xf numFmtId="0" fontId="42" fillId="8" borderId="242" xfId="1" applyFont="1" applyFill="1" applyBorder="1" applyAlignment="1">
      <alignment horizontal="center" vertical="center" wrapText="1"/>
    </xf>
    <xf numFmtId="0" fontId="42" fillId="8" borderId="15" xfId="1" applyFont="1" applyFill="1" applyBorder="1" applyAlignment="1">
      <alignment horizontal="center" vertical="center" wrapText="1"/>
    </xf>
    <xf numFmtId="0" fontId="38" fillId="0" borderId="13" xfId="0" applyFont="1" applyFill="1" applyBorder="1" applyAlignment="1">
      <alignment horizontal="center"/>
    </xf>
    <xf numFmtId="0" fontId="38" fillId="0" borderId="242" xfId="0" applyFont="1" applyFill="1" applyBorder="1" applyAlignment="1">
      <alignment horizontal="center"/>
    </xf>
    <xf numFmtId="181" fontId="38" fillId="0" borderId="242" xfId="6" applyNumberFormat="1" applyFont="1" applyBorder="1" applyAlignment="1">
      <alignment horizontal="left" indent="2"/>
    </xf>
    <xf numFmtId="181" fontId="38" fillId="0" borderId="0" xfId="6" applyNumberFormat="1" applyFont="1" applyBorder="1" applyAlignment="1">
      <alignment horizontal="left" indent="2"/>
    </xf>
    <xf numFmtId="0" fontId="38" fillId="0" borderId="157" xfId="0" applyFont="1" applyBorder="1" applyAlignment="1">
      <alignment horizontal="center"/>
    </xf>
    <xf numFmtId="181" fontId="38" fillId="0" borderId="157" xfId="6" applyNumberFormat="1" applyFont="1" applyBorder="1" applyAlignment="1">
      <alignment horizontal="left" indent="2"/>
    </xf>
    <xf numFmtId="181" fontId="38" fillId="0" borderId="118" xfId="6" applyNumberFormat="1" applyFont="1" applyBorder="1" applyAlignment="1">
      <alignment horizontal="left" indent="2"/>
    </xf>
    <xf numFmtId="0" fontId="38" fillId="0" borderId="13" xfId="0" applyNumberFormat="1" applyFont="1" applyBorder="1" applyAlignment="1">
      <alignment horizontal="center"/>
    </xf>
    <xf numFmtId="0" fontId="39" fillId="0" borderId="238" xfId="0" applyFont="1" applyBorder="1"/>
    <xf numFmtId="181" fontId="38" fillId="0" borderId="177" xfId="6" applyNumberFormat="1" applyFont="1" applyBorder="1"/>
    <xf numFmtId="181" fontId="38" fillId="0" borderId="113" xfId="6" applyNumberFormat="1" applyFont="1" applyBorder="1" applyAlignment="1">
      <alignment horizontal="left" indent="2"/>
    </xf>
    <xf numFmtId="169" fontId="44" fillId="8" borderId="112" xfId="6" applyFont="1" applyFill="1" applyBorder="1" applyAlignment="1">
      <alignment horizontal="left"/>
    </xf>
    <xf numFmtId="169" fontId="44" fillId="8" borderId="123" xfId="6" applyFont="1" applyFill="1" applyBorder="1" applyAlignment="1">
      <alignment horizontal="center"/>
    </xf>
    <xf numFmtId="169" fontId="44" fillId="8" borderId="167" xfId="6" applyFont="1" applyFill="1" applyBorder="1" applyAlignment="1">
      <alignment horizontal="center"/>
    </xf>
    <xf numFmtId="169" fontId="44" fillId="8" borderId="16" xfId="6" applyFont="1" applyFill="1" applyBorder="1" applyAlignment="1">
      <alignment horizontal="center"/>
    </xf>
    <xf numFmtId="169" fontId="48" fillId="0" borderId="359" xfId="6" applyFont="1" applyFill="1" applyBorder="1" applyAlignment="1"/>
    <xf numFmtId="181" fontId="38" fillId="0" borderId="13" xfId="0" applyNumberFormat="1" applyFont="1" applyBorder="1" applyAlignment="1">
      <alignment horizontal="right" vertical="center"/>
    </xf>
    <xf numFmtId="181" fontId="38" fillId="0" borderId="0" xfId="0" applyNumberFormat="1" applyFont="1" applyBorder="1" applyAlignment="1">
      <alignment horizontal="right" vertical="center"/>
    </xf>
    <xf numFmtId="9" fontId="38" fillId="0" borderId="358" xfId="0" applyNumberFormat="1" applyFont="1" applyBorder="1"/>
    <xf numFmtId="181" fontId="38" fillId="0" borderId="359" xfId="6" applyNumberFormat="1" applyFont="1" applyFill="1" applyBorder="1" applyAlignment="1">
      <alignment horizontal="left" vertical="center"/>
    </xf>
    <xf numFmtId="9" fontId="38" fillId="0" borderId="359" xfId="0" applyNumberFormat="1" applyFont="1" applyBorder="1"/>
    <xf numFmtId="169" fontId="48" fillId="0" borderId="359" xfId="6" applyFont="1" applyFill="1" applyBorder="1" applyAlignment="1">
      <alignment horizontal="left"/>
    </xf>
    <xf numFmtId="181" fontId="38" fillId="0" borderId="13" xfId="0" applyNumberFormat="1" applyFont="1" applyFill="1" applyBorder="1" applyAlignment="1">
      <alignment horizontal="right" vertical="center"/>
    </xf>
    <xf numFmtId="181" fontId="38" fillId="0" borderId="0" xfId="0" applyNumberFormat="1" applyFont="1" applyFill="1" applyBorder="1" applyAlignment="1">
      <alignment horizontal="right" vertical="center"/>
    </xf>
    <xf numFmtId="181" fontId="38" fillId="0" borderId="13" xfId="6" applyNumberFormat="1" applyFont="1" applyFill="1" applyBorder="1" applyAlignment="1">
      <alignment horizontal="right" vertical="center"/>
    </xf>
    <xf numFmtId="181" fontId="38" fillId="0" borderId="13" xfId="6" quotePrefix="1" applyNumberFormat="1" applyFont="1" applyFill="1" applyBorder="1" applyAlignment="1">
      <alignment horizontal="right" vertical="center"/>
    </xf>
    <xf numFmtId="169" fontId="48" fillId="0" borderId="18" xfId="6" applyFont="1" applyFill="1" applyBorder="1" applyAlignment="1"/>
    <xf numFmtId="181" fontId="38" fillId="0" borderId="242" xfId="6" applyNumberFormat="1" applyFont="1" applyFill="1" applyBorder="1" applyAlignment="1">
      <alignment horizontal="right" vertical="center"/>
    </xf>
    <xf numFmtId="181" fontId="38" fillId="0" borderId="118" xfId="6" applyNumberFormat="1" applyFont="1" applyFill="1" applyBorder="1" applyAlignment="1">
      <alignment horizontal="right" vertical="center"/>
    </xf>
    <xf numFmtId="9" fontId="38" fillId="0" borderId="18" xfId="0" applyNumberFormat="1" applyFont="1" applyBorder="1"/>
    <xf numFmtId="169" fontId="48" fillId="0" borderId="0" xfId="6" applyFont="1" applyFill="1" applyBorder="1" applyAlignment="1"/>
    <xf numFmtId="181" fontId="38" fillId="0" borderId="0" xfId="6" applyNumberFormat="1" applyFont="1" applyFill="1" applyBorder="1" applyAlignment="1">
      <alignment horizontal="right" vertical="center"/>
    </xf>
    <xf numFmtId="169" fontId="44" fillId="8" borderId="17" xfId="6" applyFont="1" applyFill="1" applyBorder="1" applyAlignment="1">
      <alignment horizontal="left"/>
    </xf>
    <xf numFmtId="181" fontId="38" fillId="0" borderId="0" xfId="0" applyNumberFormat="1" applyFont="1" applyAlignment="1">
      <alignment horizontal="right" vertical="center"/>
    </xf>
    <xf numFmtId="164" fontId="38" fillId="0" borderId="0" xfId="0" applyNumberFormat="1" applyFont="1" applyAlignment="1">
      <alignment horizontal="right" vertical="center"/>
    </xf>
    <xf numFmtId="169" fontId="48" fillId="0" borderId="116" xfId="6" applyFont="1" applyFill="1" applyBorder="1"/>
    <xf numFmtId="0" fontId="38" fillId="0" borderId="247" xfId="6" applyNumberFormat="1" applyFont="1" applyFill="1" applyBorder="1" applyAlignment="1">
      <alignment horizontal="center" vertical="center"/>
    </xf>
    <xf numFmtId="181" fontId="38" fillId="0" borderId="273" xfId="0" applyNumberFormat="1" applyFont="1" applyBorder="1" applyAlignment="1">
      <alignment horizontal="center" vertical="center"/>
    </xf>
    <xf numFmtId="181" fontId="38" fillId="0" borderId="115" xfId="0" applyNumberFormat="1" applyFont="1" applyBorder="1" applyAlignment="1">
      <alignment horizontal="right" vertical="center"/>
    </xf>
    <xf numFmtId="2" fontId="38" fillId="0" borderId="0" xfId="0" applyNumberFormat="1" applyFont="1" applyAlignment="1">
      <alignment horizontal="right" vertical="center"/>
    </xf>
    <xf numFmtId="0" fontId="38" fillId="0" borderId="238" xfId="6" applyNumberFormat="1" applyFont="1" applyFill="1" applyBorder="1" applyAlignment="1">
      <alignment horizontal="center" vertical="center"/>
    </xf>
    <xf numFmtId="181" fontId="38" fillId="0" borderId="13" xfId="0" applyNumberFormat="1" applyFont="1" applyBorder="1" applyAlignment="1">
      <alignment horizontal="center" vertical="center"/>
    </xf>
    <xf numFmtId="181" fontId="38" fillId="0" borderId="14" xfId="0" applyNumberFormat="1" applyFont="1" applyBorder="1" applyAlignment="1">
      <alignment horizontal="right" vertical="center"/>
    </xf>
    <xf numFmtId="169" fontId="48" fillId="0" borderId="117" xfId="6" applyFont="1" applyFill="1" applyBorder="1"/>
    <xf numFmtId="0" fontId="38" fillId="0" borderId="241" xfId="6" applyNumberFormat="1" applyFont="1" applyFill="1" applyBorder="1" applyAlignment="1">
      <alignment horizontal="center" vertical="center"/>
    </xf>
    <xf numFmtId="181" fontId="38" fillId="0" borderId="242" xfId="0" applyNumberFormat="1" applyFont="1" applyBorder="1" applyAlignment="1">
      <alignment horizontal="center" vertical="center"/>
    </xf>
    <xf numFmtId="181" fontId="38" fillId="0" borderId="15" xfId="0" applyNumberFormat="1" applyFont="1" applyBorder="1" applyAlignment="1">
      <alignment horizontal="right" vertical="center"/>
    </xf>
    <xf numFmtId="164" fontId="38" fillId="0" borderId="0" xfId="0" applyNumberFormat="1" applyFont="1" applyBorder="1" applyAlignment="1">
      <alignment horizontal="right" vertical="center"/>
    </xf>
    <xf numFmtId="169" fontId="44" fillId="8" borderId="114" xfId="6" applyFont="1" applyFill="1" applyBorder="1"/>
    <xf numFmtId="0" fontId="38" fillId="0" borderId="247" xfId="0" applyFont="1" applyBorder="1" applyAlignment="1">
      <alignment horizontal="center"/>
    </xf>
    <xf numFmtId="0" fontId="38" fillId="0" borderId="273" xfId="0" applyFont="1" applyBorder="1" applyAlignment="1">
      <alignment horizontal="center"/>
    </xf>
    <xf numFmtId="0" fontId="38" fillId="0" borderId="238" xfId="0" applyNumberFormat="1" applyFont="1" applyBorder="1" applyAlignment="1">
      <alignment horizontal="center"/>
    </xf>
    <xf numFmtId="0" fontId="38" fillId="0" borderId="14" xfId="0" applyNumberFormat="1" applyFont="1" applyBorder="1" applyAlignment="1">
      <alignment horizontal="center"/>
    </xf>
    <xf numFmtId="0" fontId="38" fillId="0" borderId="238" xfId="0" quotePrefix="1" applyFont="1" applyBorder="1" applyAlignment="1">
      <alignment horizontal="center"/>
    </xf>
    <xf numFmtId="0" fontId="38" fillId="0" borderId="13" xfId="0" quotePrefix="1" applyFont="1" applyBorder="1" applyAlignment="1">
      <alignment horizontal="center"/>
    </xf>
    <xf numFmtId="0" fontId="39" fillId="0" borderId="112" xfId="0" applyFont="1" applyFill="1" applyBorder="1" applyAlignment="1">
      <alignment horizontal="left"/>
    </xf>
    <xf numFmtId="0" fontId="38" fillId="0" borderId="123" xfId="0" applyFont="1" applyFill="1" applyBorder="1" applyAlignment="1">
      <alignment horizontal="center"/>
    </xf>
    <xf numFmtId="0" fontId="38" fillId="0" borderId="167" xfId="0" applyFont="1" applyFill="1" applyBorder="1" applyAlignment="1">
      <alignment horizontal="center"/>
    </xf>
    <xf numFmtId="0" fontId="38" fillId="0" borderId="16" xfId="0" applyFont="1" applyFill="1" applyBorder="1" applyAlignment="1">
      <alignment horizontal="center"/>
    </xf>
    <xf numFmtId="0" fontId="39" fillId="0" borderId="117" xfId="0" applyFont="1" applyFill="1" applyBorder="1" applyAlignment="1">
      <alignment horizontal="left"/>
    </xf>
    <xf numFmtId="0" fontId="38" fillId="0" borderId="241" xfId="0" applyFont="1" applyFill="1" applyBorder="1" applyAlignment="1">
      <alignment horizontal="center"/>
    </xf>
    <xf numFmtId="0" fontId="38" fillId="0" borderId="15" xfId="0" applyFont="1" applyFill="1" applyBorder="1" applyAlignment="1">
      <alignment horizontal="center"/>
    </xf>
    <xf numFmtId="0" fontId="38" fillId="0" borderId="115" xfId="0" applyFont="1" applyBorder="1" applyAlignment="1">
      <alignment horizontal="right"/>
    </xf>
    <xf numFmtId="9" fontId="38" fillId="0" borderId="14" xfId="0" applyNumberFormat="1" applyFont="1" applyBorder="1" applyAlignment="1">
      <alignment horizontal="right"/>
    </xf>
    <xf numFmtId="0" fontId="38" fillId="0" borderId="14" xfId="0" applyFont="1" applyBorder="1" applyAlignment="1">
      <alignment horizontal="right"/>
    </xf>
    <xf numFmtId="0" fontId="38" fillId="0" borderId="15" xfId="0" applyFont="1" applyBorder="1" applyAlignment="1">
      <alignment horizontal="right"/>
    </xf>
    <xf numFmtId="0" fontId="51" fillId="0" borderId="0" xfId="4" applyFont="1"/>
    <xf numFmtId="0" fontId="43" fillId="0" borderId="0" xfId="7" applyFont="1"/>
    <xf numFmtId="0" fontId="43" fillId="0" borderId="401" xfId="7" applyFont="1" applyBorder="1"/>
    <xf numFmtId="0" fontId="43" fillId="0" borderId="12" xfId="7" applyFont="1" applyBorder="1"/>
    <xf numFmtId="0" fontId="43" fillId="0" borderId="9" xfId="7" applyFont="1" applyBorder="1"/>
    <xf numFmtId="0" fontId="43" fillId="0" borderId="402" xfId="7" applyFont="1" applyBorder="1"/>
    <xf numFmtId="183" fontId="43" fillId="0" borderId="237" xfId="6" applyNumberFormat="1" applyFont="1" applyBorder="1"/>
    <xf numFmtId="183" fontId="43" fillId="0" borderId="12" xfId="6" applyNumberFormat="1" applyFont="1" applyBorder="1"/>
    <xf numFmtId="183" fontId="43" fillId="0" borderId="9" xfId="6" applyNumberFormat="1" applyFont="1" applyBorder="1"/>
    <xf numFmtId="183" fontId="43" fillId="0" borderId="402" xfId="6" applyNumberFormat="1" applyFont="1" applyBorder="1"/>
    <xf numFmtId="183" fontId="43" fillId="0" borderId="0" xfId="6" applyNumberFormat="1" applyFont="1"/>
    <xf numFmtId="183" fontId="43" fillId="0" borderId="404" xfId="6" applyNumberFormat="1" applyFont="1" applyBorder="1"/>
    <xf numFmtId="9" fontId="43" fillId="0" borderId="136" xfId="6" applyNumberFormat="1" applyFont="1" applyBorder="1"/>
    <xf numFmtId="9" fontId="43" fillId="0" borderId="405" xfId="6" applyNumberFormat="1" applyFont="1" applyBorder="1"/>
    <xf numFmtId="9" fontId="43" fillId="0" borderId="406" xfId="6" applyNumberFormat="1" applyFont="1" applyBorder="1"/>
    <xf numFmtId="0" fontId="43" fillId="0" borderId="0" xfId="7" applyFont="1" applyAlignment="1"/>
    <xf numFmtId="183" fontId="43" fillId="0" borderId="401" xfId="6" applyNumberFormat="1" applyFont="1" applyBorder="1"/>
    <xf numFmtId="0" fontId="43" fillId="8" borderId="17" xfId="7" applyFont="1" applyFill="1" applyBorder="1" applyAlignment="1">
      <alignment horizontal="left"/>
    </xf>
    <xf numFmtId="0" fontId="55" fillId="0" borderId="0" xfId="7" applyFont="1" applyAlignment="1">
      <alignment horizontal="center"/>
    </xf>
    <xf numFmtId="0" fontId="43" fillId="0" borderId="365" xfId="7" applyFont="1" applyFill="1" applyBorder="1"/>
    <xf numFmtId="0" fontId="43" fillId="0" borderId="0" xfId="7" applyFont="1" applyAlignment="1">
      <alignment horizontal="left"/>
    </xf>
    <xf numFmtId="0" fontId="43" fillId="0" borderId="398" xfId="7" applyFont="1" applyBorder="1"/>
    <xf numFmtId="172" fontId="43" fillId="0" borderId="399" xfId="7" applyNumberFormat="1" applyFont="1" applyFill="1" applyBorder="1"/>
    <xf numFmtId="0" fontId="43" fillId="0" borderId="405" xfId="7" applyFont="1" applyBorder="1"/>
    <xf numFmtId="172" fontId="43" fillId="0" borderId="406" xfId="7" applyNumberFormat="1" applyFont="1" applyBorder="1"/>
    <xf numFmtId="0" fontId="42" fillId="8" borderId="169" xfId="7" applyFont="1" applyFill="1" applyBorder="1"/>
    <xf numFmtId="0" fontId="43" fillId="8" borderId="170" xfId="7" quotePrefix="1" applyFont="1" applyFill="1" applyBorder="1" applyAlignment="1">
      <alignment horizontal="center"/>
    </xf>
    <xf numFmtId="0" fontId="42" fillId="8" borderId="171" xfId="7" applyFont="1" applyFill="1" applyBorder="1" applyAlignment="1">
      <alignment horizontal="center"/>
    </xf>
    <xf numFmtId="0" fontId="42" fillId="8" borderId="172" xfId="7" quotePrefix="1" applyFont="1" applyFill="1" applyBorder="1" applyAlignment="1">
      <alignment horizontal="center"/>
    </xf>
    <xf numFmtId="0" fontId="42" fillId="0" borderId="173" xfId="7" applyFont="1" applyBorder="1"/>
    <xf numFmtId="0" fontId="43" fillId="0" borderId="174" xfId="7" applyFont="1" applyBorder="1" applyAlignment="1">
      <alignment horizontal="center"/>
    </xf>
    <xf numFmtId="178" fontId="38" fillId="27" borderId="173" xfId="8" applyNumberFormat="1" applyFont="1" applyFill="1" applyBorder="1" applyAlignment="1" applyProtection="1">
      <alignment horizontal="center"/>
      <protection locked="0"/>
    </xf>
    <xf numFmtId="172" fontId="38" fillId="0" borderId="175" xfId="8" applyNumberFormat="1" applyFont="1" applyFill="1" applyBorder="1" applyAlignment="1">
      <alignment horizontal="center"/>
    </xf>
    <xf numFmtId="172" fontId="38" fillId="0" borderId="176" xfId="8" applyNumberFormat="1" applyFont="1" applyFill="1" applyBorder="1" applyAlignment="1" applyProtection="1">
      <alignment horizontal="center"/>
      <protection locked="0"/>
    </xf>
    <xf numFmtId="0" fontId="42" fillId="0" borderId="176" xfId="7" applyFont="1" applyBorder="1"/>
    <xf numFmtId="0" fontId="43" fillId="0" borderId="177" xfId="7" applyFont="1" applyBorder="1" applyAlignment="1">
      <alignment horizontal="center"/>
    </xf>
    <xf numFmtId="172" fontId="38" fillId="0" borderId="176" xfId="8" applyNumberFormat="1" applyFont="1" applyBorder="1" applyAlignment="1">
      <alignment horizontal="center"/>
    </xf>
    <xf numFmtId="172" fontId="38" fillId="0" borderId="0" xfId="8" applyNumberFormat="1" applyFont="1" applyBorder="1" applyAlignment="1">
      <alignment horizontal="center"/>
    </xf>
    <xf numFmtId="172" fontId="38" fillId="0" borderId="177" xfId="8" applyNumberFormat="1" applyFont="1" applyBorder="1" applyAlignment="1">
      <alignment horizontal="center"/>
    </xf>
    <xf numFmtId="172" fontId="38" fillId="0" borderId="178" xfId="8" applyNumberFormat="1" applyFont="1" applyBorder="1" applyAlignment="1">
      <alignment horizontal="center"/>
    </xf>
    <xf numFmtId="0" fontId="43" fillId="0" borderId="0" xfId="7" applyFont="1" applyFill="1"/>
    <xf numFmtId="0" fontId="42" fillId="0" borderId="176" xfId="7" applyFont="1" applyBorder="1" applyAlignment="1">
      <alignment horizontal="left"/>
    </xf>
    <xf numFmtId="178" fontId="38" fillId="27" borderId="176" xfId="8" applyNumberFormat="1" applyFont="1" applyFill="1" applyBorder="1" applyAlignment="1" applyProtection="1">
      <alignment horizontal="center"/>
      <protection locked="0"/>
    </xf>
    <xf numFmtId="172" fontId="38" fillId="27" borderId="176" xfId="8" applyNumberFormat="1" applyFont="1" applyFill="1" applyBorder="1" applyAlignment="1" applyProtection="1">
      <alignment horizontal="center"/>
      <protection locked="0"/>
    </xf>
    <xf numFmtId="172" fontId="43" fillId="28" borderId="177" xfId="7" applyNumberFormat="1" applyFont="1" applyFill="1" applyBorder="1" applyAlignment="1">
      <alignment horizontal="center"/>
    </xf>
    <xf numFmtId="172" fontId="43" fillId="0" borderId="0" xfId="8" applyNumberFormat="1" applyFont="1" applyBorder="1" applyAlignment="1">
      <alignment horizontal="center"/>
    </xf>
    <xf numFmtId="0" fontId="42" fillId="0" borderId="179" xfId="7" applyFont="1" applyBorder="1"/>
    <xf numFmtId="0" fontId="43" fillId="28" borderId="180" xfId="7" applyFont="1" applyFill="1" applyBorder="1" applyAlignment="1">
      <alignment horizontal="center"/>
    </xf>
    <xf numFmtId="172" fontId="38" fillId="0" borderId="181" xfId="8" applyNumberFormat="1" applyFont="1" applyBorder="1" applyAlignment="1">
      <alignment horizontal="center"/>
    </xf>
    <xf numFmtId="0" fontId="43" fillId="0" borderId="0" xfId="7" quotePrefix="1" applyFont="1" applyBorder="1" applyAlignment="1">
      <alignment horizontal="center"/>
    </xf>
    <xf numFmtId="176" fontId="38" fillId="0" borderId="173" xfId="8" applyNumberFormat="1" applyFont="1" applyBorder="1" applyAlignment="1">
      <alignment horizontal="center"/>
    </xf>
    <xf numFmtId="176" fontId="38" fillId="0" borderId="182" xfId="8" applyNumberFormat="1" applyFont="1" applyBorder="1" applyAlignment="1">
      <alignment horizontal="center"/>
    </xf>
    <xf numFmtId="176" fontId="38" fillId="0" borderId="174" xfId="8" applyNumberFormat="1" applyFont="1" applyBorder="1" applyAlignment="1">
      <alignment horizontal="center"/>
    </xf>
    <xf numFmtId="176" fontId="38" fillId="0" borderId="177" xfId="8" applyNumberFormat="1" applyFont="1" applyBorder="1" applyAlignment="1">
      <alignment horizontal="center"/>
    </xf>
    <xf numFmtId="167" fontId="38" fillId="24" borderId="0" xfId="9" applyNumberFormat="1" applyFont="1" applyFill="1" applyBorder="1" applyAlignment="1" applyProtection="1">
      <alignment horizontal="center"/>
      <protection locked="0"/>
    </xf>
    <xf numFmtId="177" fontId="38" fillId="0" borderId="176" xfId="9" applyNumberFormat="1" applyFont="1" applyBorder="1" applyAlignment="1">
      <alignment horizontal="center"/>
    </xf>
    <xf numFmtId="177" fontId="38" fillId="0" borderId="0" xfId="9" applyNumberFormat="1" applyFont="1" applyBorder="1" applyAlignment="1">
      <alignment horizontal="center"/>
    </xf>
    <xf numFmtId="177" fontId="38" fillId="0" borderId="177" xfId="9" applyNumberFormat="1" applyFont="1" applyBorder="1" applyAlignment="1">
      <alignment horizontal="center"/>
    </xf>
    <xf numFmtId="167" fontId="38" fillId="27" borderId="0" xfId="9" applyNumberFormat="1" applyFont="1" applyFill="1" applyBorder="1" applyAlignment="1" applyProtection="1">
      <alignment horizontal="center"/>
      <protection locked="0"/>
    </xf>
    <xf numFmtId="177" fontId="38" fillId="27" borderId="0" xfId="9" applyNumberFormat="1" applyFont="1" applyFill="1" applyBorder="1" applyAlignment="1" applyProtection="1">
      <alignment horizontal="center"/>
      <protection locked="0"/>
    </xf>
    <xf numFmtId="0" fontId="43" fillId="0" borderId="0" xfId="7" applyFont="1" applyBorder="1" applyAlignment="1">
      <alignment horizontal="center"/>
    </xf>
    <xf numFmtId="177" fontId="38" fillId="27" borderId="179" xfId="9" applyNumberFormat="1" applyFont="1" applyFill="1" applyBorder="1" applyAlignment="1" applyProtection="1">
      <alignment horizontal="center"/>
      <protection locked="0"/>
    </xf>
    <xf numFmtId="0" fontId="42" fillId="0" borderId="169" xfId="7" applyFont="1" applyBorder="1"/>
    <xf numFmtId="0" fontId="43" fillId="0" borderId="170" xfId="7" applyFont="1" applyBorder="1" applyAlignment="1">
      <alignment horizontal="center"/>
    </xf>
    <xf numFmtId="177" fontId="38" fillId="0" borderId="179" xfId="9" applyNumberFormat="1" applyFont="1" applyBorder="1" applyAlignment="1">
      <alignment horizontal="center"/>
    </xf>
    <xf numFmtId="177" fontId="38" fillId="0" borderId="183" xfId="9" applyNumberFormat="1" applyFont="1" applyBorder="1" applyAlignment="1">
      <alignment horizontal="center"/>
    </xf>
    <xf numFmtId="177" fontId="38" fillId="0" borderId="180" xfId="9" applyNumberFormat="1" applyFont="1" applyBorder="1" applyAlignment="1">
      <alignment horizontal="center"/>
    </xf>
    <xf numFmtId="177" fontId="38" fillId="0" borderId="172" xfId="9" applyNumberFormat="1" applyFont="1" applyBorder="1" applyAlignment="1">
      <alignment horizontal="center"/>
    </xf>
    <xf numFmtId="0" fontId="43" fillId="7" borderId="0" xfId="7" applyFont="1" applyFill="1"/>
    <xf numFmtId="0" fontId="43" fillId="8" borderId="17" xfId="7" applyFont="1" applyFill="1" applyBorder="1"/>
    <xf numFmtId="0" fontId="43" fillId="0" borderId="365" xfId="7" applyFont="1" applyBorder="1"/>
    <xf numFmtId="0" fontId="43" fillId="0" borderId="399" xfId="7" applyNumberFormat="1" applyFont="1" applyBorder="1"/>
    <xf numFmtId="0" fontId="43" fillId="0" borderId="406" xfId="7" applyNumberFormat="1" applyFont="1" applyBorder="1"/>
    <xf numFmtId="172" fontId="38" fillId="0" borderId="175" xfId="8" applyNumberFormat="1" applyFont="1" applyFill="1" applyBorder="1" applyAlignment="1">
      <alignment horizontal="center" wrapText="1"/>
    </xf>
    <xf numFmtId="178" fontId="38" fillId="27" borderId="176" xfId="8" applyNumberFormat="1" applyFont="1" applyFill="1" applyBorder="1" applyAlignment="1" applyProtection="1">
      <alignment horizontal="center" wrapText="1"/>
      <protection locked="0"/>
    </xf>
    <xf numFmtId="0" fontId="43" fillId="28" borderId="177" xfId="7" applyFont="1" applyFill="1" applyBorder="1" applyAlignment="1">
      <alignment horizontal="center"/>
    </xf>
    <xf numFmtId="175" fontId="38" fillId="24" borderId="0" xfId="9" applyNumberFormat="1" applyFont="1" applyFill="1" applyBorder="1" applyAlignment="1" applyProtection="1">
      <alignment horizontal="center" wrapText="1"/>
      <protection locked="0"/>
    </xf>
    <xf numFmtId="175" fontId="38" fillId="27" borderId="0" xfId="9" applyNumberFormat="1" applyFont="1" applyFill="1" applyBorder="1" applyAlignment="1" applyProtection="1">
      <alignment horizontal="center"/>
      <protection locked="0"/>
    </xf>
    <xf numFmtId="0" fontId="43" fillId="0" borderId="0" xfId="0" applyFont="1"/>
    <xf numFmtId="0" fontId="43" fillId="8" borderId="17" xfId="0" applyFont="1" applyFill="1" applyBorder="1"/>
    <xf numFmtId="0" fontId="43" fillId="0" borderId="365" xfId="0" applyFont="1" applyBorder="1"/>
    <xf numFmtId="0" fontId="43" fillId="0" borderId="398" xfId="0" applyFont="1" applyBorder="1"/>
    <xf numFmtId="0" fontId="43" fillId="0" borderId="399" xfId="0" applyFont="1" applyBorder="1"/>
    <xf numFmtId="0" fontId="43" fillId="0" borderId="405" xfId="0" applyFont="1" applyBorder="1"/>
    <xf numFmtId="0" fontId="43" fillId="0" borderId="406" xfId="0" applyFont="1" applyBorder="1"/>
    <xf numFmtId="0" fontId="42" fillId="8" borderId="173" xfId="7" applyFont="1" applyFill="1" applyBorder="1"/>
    <xf numFmtId="0" fontId="43" fillId="8" borderId="174" xfId="7" quotePrefix="1" applyFont="1" applyFill="1" applyBorder="1" applyAlignment="1">
      <alignment horizontal="center"/>
    </xf>
    <xf numFmtId="0" fontId="42" fillId="0" borderId="114" xfId="7" applyFont="1" applyBorder="1"/>
    <xf numFmtId="0" fontId="43" fillId="0" borderId="115" xfId="7" applyFont="1" applyBorder="1" applyAlignment="1">
      <alignment horizontal="center"/>
    </xf>
    <xf numFmtId="178" fontId="38" fillId="27" borderId="182" xfId="8" applyNumberFormat="1" applyFont="1" applyFill="1" applyBorder="1" applyAlignment="1" applyProtection="1">
      <alignment horizontal="center"/>
      <protection locked="0"/>
    </xf>
    <xf numFmtId="0" fontId="42" fillId="0" borderId="116" xfId="7" applyFont="1" applyBorder="1"/>
    <xf numFmtId="0" fontId="43" fillId="0" borderId="14" xfId="7" applyFont="1" applyBorder="1" applyAlignment="1">
      <alignment horizontal="center"/>
    </xf>
    <xf numFmtId="0" fontId="42" fillId="0" borderId="116" xfId="7" applyFont="1" applyBorder="1" applyAlignment="1">
      <alignment horizontal="left"/>
    </xf>
    <xf numFmtId="178" fontId="38" fillId="27" borderId="0" xfId="8" applyNumberFormat="1" applyFont="1" applyFill="1" applyBorder="1" applyAlignment="1" applyProtection="1">
      <alignment horizontal="center"/>
      <protection locked="0"/>
    </xf>
    <xf numFmtId="172" fontId="38" fillId="27" borderId="0" xfId="8" applyNumberFormat="1" applyFont="1" applyFill="1" applyBorder="1" applyAlignment="1" applyProtection="1">
      <alignment horizontal="center"/>
      <protection locked="0"/>
    </xf>
    <xf numFmtId="0" fontId="43" fillId="28" borderId="14" xfId="7" applyFont="1" applyFill="1" applyBorder="1" applyAlignment="1">
      <alignment horizontal="center"/>
    </xf>
    <xf numFmtId="0" fontId="42" fillId="0" borderId="117" xfId="7" applyFont="1" applyBorder="1"/>
    <xf numFmtId="0" fontId="43" fillId="28" borderId="15" xfId="7" applyFont="1" applyFill="1" applyBorder="1" applyAlignment="1">
      <alignment horizontal="center"/>
    </xf>
    <xf numFmtId="175" fontId="38" fillId="24" borderId="0" xfId="9" applyNumberFormat="1" applyFont="1" applyFill="1" applyBorder="1" applyAlignment="1" applyProtection="1">
      <alignment horizontal="center"/>
      <protection locked="0"/>
    </xf>
    <xf numFmtId="0" fontId="43" fillId="0" borderId="259" xfId="0" applyFont="1" applyBorder="1"/>
    <xf numFmtId="0" fontId="43" fillId="0" borderId="397" xfId="0" applyFont="1" applyBorder="1"/>
    <xf numFmtId="167" fontId="38" fillId="24" borderId="0" xfId="9" applyNumberFormat="1" applyFont="1" applyFill="1" applyBorder="1" applyAlignment="1" applyProtection="1">
      <alignment horizontal="center" wrapText="1"/>
      <protection locked="0"/>
    </xf>
    <xf numFmtId="0" fontId="43" fillId="48" borderId="0" xfId="0" applyFont="1" applyFill="1"/>
    <xf numFmtId="0" fontId="43" fillId="0" borderId="399" xfId="0" applyNumberFormat="1" applyFont="1" applyBorder="1"/>
    <xf numFmtId="0" fontId="43" fillId="0" borderId="406" xfId="0" applyNumberFormat="1" applyFont="1" applyBorder="1"/>
    <xf numFmtId="0" fontId="48" fillId="0" borderId="116" xfId="1" applyFont="1" applyBorder="1" applyAlignment="1"/>
    <xf numFmtId="181" fontId="48" fillId="0" borderId="116" xfId="1" applyNumberFormat="1" applyFont="1" applyBorder="1" applyAlignment="1"/>
    <xf numFmtId="181" fontId="48" fillId="0" borderId="0" xfId="1" applyNumberFormat="1" applyFont="1" applyBorder="1" applyAlignment="1"/>
    <xf numFmtId="181" fontId="48" fillId="0" borderId="14" xfId="1" applyNumberFormat="1" applyFont="1" applyBorder="1" applyAlignment="1"/>
    <xf numFmtId="0" fontId="44" fillId="0" borderId="17" xfId="1" applyFont="1" applyBorder="1" applyAlignment="1"/>
    <xf numFmtId="181" fontId="48" fillId="0" borderId="113" xfId="1" applyNumberFormat="1" applyFont="1" applyBorder="1" applyAlignment="1"/>
    <xf numFmtId="181" fontId="48" fillId="0" borderId="16" xfId="1" applyNumberFormat="1" applyFont="1" applyBorder="1" applyAlignment="1"/>
    <xf numFmtId="0" fontId="41" fillId="0" borderId="0" xfId="0" applyFont="1"/>
    <xf numFmtId="10" fontId="48" fillId="0" borderId="16" xfId="1" applyNumberFormat="1" applyFont="1" applyFill="1" applyBorder="1" applyAlignment="1"/>
    <xf numFmtId="0" fontId="48" fillId="0" borderId="359" xfId="1" applyFont="1" applyBorder="1" applyAlignment="1"/>
    <xf numFmtId="175" fontId="48" fillId="0" borderId="0" xfId="1" applyNumberFormat="1" applyFont="1" applyBorder="1" applyAlignment="1">
      <alignment horizontal="center"/>
    </xf>
    <xf numFmtId="175" fontId="48" fillId="0" borderId="14" xfId="1" applyNumberFormat="1" applyFont="1" applyBorder="1" applyAlignment="1">
      <alignment horizontal="center"/>
    </xf>
    <xf numFmtId="172" fontId="48" fillId="0" borderId="0" xfId="1" applyNumberFormat="1" applyFont="1" applyBorder="1" applyAlignment="1">
      <alignment horizontal="right"/>
    </xf>
    <xf numFmtId="0" fontId="48" fillId="0" borderId="0" xfId="1" applyFont="1" applyBorder="1" applyAlignment="1">
      <alignment horizontal="right"/>
    </xf>
    <xf numFmtId="0" fontId="48" fillId="0" borderId="14" xfId="1" applyFont="1" applyBorder="1" applyAlignment="1">
      <alignment horizontal="right"/>
    </xf>
    <xf numFmtId="172" fontId="48" fillId="0" borderId="0" xfId="1" applyNumberFormat="1" applyFont="1" applyBorder="1" applyAlignment="1">
      <alignment horizontal="center"/>
    </xf>
    <xf numFmtId="172" fontId="48" fillId="0" borderId="14" xfId="1" applyNumberFormat="1" applyFont="1" applyBorder="1" applyAlignment="1">
      <alignment horizontal="center"/>
    </xf>
    <xf numFmtId="0" fontId="48" fillId="0" borderId="358" xfId="1" applyFont="1" applyBorder="1" applyAlignment="1"/>
    <xf numFmtId="181" fontId="48" fillId="0" borderId="157" xfId="1" applyNumberFormat="1" applyFont="1" applyBorder="1" applyAlignment="1"/>
    <xf numFmtId="181" fontId="48" fillId="0" borderId="115" xfId="1" applyNumberFormat="1" applyFont="1" applyBorder="1" applyAlignment="1"/>
    <xf numFmtId="0" fontId="48" fillId="0" borderId="14" xfId="1" applyFont="1" applyBorder="1" applyAlignment="1"/>
    <xf numFmtId="181" fontId="48" fillId="0" borderId="114" xfId="1" applyNumberFormat="1" applyFont="1" applyBorder="1" applyAlignment="1"/>
    <xf numFmtId="0" fontId="48" fillId="0" borderId="117" xfId="1" applyFont="1" applyBorder="1" applyAlignment="1"/>
    <xf numFmtId="0" fontId="48" fillId="0" borderId="118" xfId="1" applyFont="1" applyBorder="1" applyAlignment="1"/>
    <xf numFmtId="0" fontId="48" fillId="0" borderId="15" xfId="1" applyFont="1" applyBorder="1" applyAlignment="1"/>
    <xf numFmtId="0" fontId="38" fillId="0" borderId="238" xfId="0" applyFont="1" applyBorder="1" applyAlignment="1"/>
    <xf numFmtId="0" fontId="48" fillId="0" borderId="162" xfId="1" applyFont="1" applyBorder="1" applyAlignment="1"/>
    <xf numFmtId="0" fontId="43" fillId="9" borderId="108" xfId="1" applyFont="1" applyFill="1" applyBorder="1" applyAlignment="1">
      <alignment wrapText="1"/>
    </xf>
    <xf numFmtId="0" fontId="43" fillId="9" borderId="107" xfId="1" applyFont="1" applyFill="1" applyBorder="1" applyAlignment="1">
      <alignment wrapText="1"/>
    </xf>
    <xf numFmtId="10" fontId="43" fillId="9" borderId="107" xfId="1" applyNumberFormat="1" applyFont="1" applyFill="1" applyBorder="1" applyAlignment="1">
      <alignment wrapText="1"/>
    </xf>
    <xf numFmtId="170" fontId="43" fillId="9" borderId="107" xfId="1" applyNumberFormat="1" applyFont="1" applyFill="1" applyBorder="1" applyAlignment="1">
      <alignment wrapText="1"/>
    </xf>
    <xf numFmtId="0" fontId="43" fillId="9" borderId="477" xfId="1" applyFont="1" applyFill="1" applyBorder="1" applyAlignment="1">
      <alignment wrapText="1"/>
    </xf>
    <xf numFmtId="0" fontId="53" fillId="0" borderId="470" xfId="1" applyFont="1" applyBorder="1" applyAlignment="1">
      <alignment horizontal="right"/>
    </xf>
    <xf numFmtId="172" fontId="38" fillId="0" borderId="0" xfId="0" applyNumberFormat="1" applyFont="1" applyBorder="1"/>
    <xf numFmtId="171" fontId="43" fillId="0" borderId="291" xfId="1" applyNumberFormat="1" applyFont="1" applyBorder="1"/>
    <xf numFmtId="0" fontId="53" fillId="0" borderId="290" xfId="1" applyFont="1" applyBorder="1" applyAlignment="1">
      <alignment horizontal="right"/>
    </xf>
    <xf numFmtId="171" fontId="42" fillId="0" borderId="43" xfId="1" applyNumberFormat="1" applyFont="1" applyBorder="1" applyAlignment="1">
      <alignment horizontal="center"/>
    </xf>
    <xf numFmtId="170" fontId="43" fillId="0" borderId="103" xfId="1" applyNumberFormat="1" applyFont="1" applyBorder="1" applyAlignment="1">
      <alignment horizontal="center"/>
    </xf>
    <xf numFmtId="10" fontId="42" fillId="0" borderId="42" xfId="1" applyNumberFormat="1" applyFont="1" applyBorder="1" applyAlignment="1">
      <alignment horizontal="center"/>
    </xf>
    <xf numFmtId="10" fontId="42" fillId="0" borderId="103" xfId="1" applyNumberFormat="1" applyFont="1" applyBorder="1" applyAlignment="1">
      <alignment horizontal="center"/>
    </xf>
    <xf numFmtId="170" fontId="42" fillId="0" borderId="438" xfId="1" applyNumberFormat="1" applyFont="1" applyBorder="1" applyAlignment="1"/>
    <xf numFmtId="0" fontId="53" fillId="0" borderId="377" xfId="1" applyFont="1" applyBorder="1" applyAlignment="1">
      <alignment horizontal="right"/>
    </xf>
    <xf numFmtId="0" fontId="53" fillId="0" borderId="471" xfId="1" applyFont="1" applyBorder="1" applyAlignment="1">
      <alignment horizontal="right"/>
    </xf>
    <xf numFmtId="171" fontId="43" fillId="3" borderId="427" xfId="1" applyNumberFormat="1" applyFont="1" applyFill="1" applyBorder="1"/>
    <xf numFmtId="172" fontId="53" fillId="21" borderId="0" xfId="1" applyNumberFormat="1" applyFont="1" applyFill="1" applyBorder="1" applyAlignment="1">
      <alignment horizontal="right"/>
    </xf>
    <xf numFmtId="0" fontId="43" fillId="9" borderId="0" xfId="1" applyFont="1" applyFill="1" applyBorder="1" applyAlignment="1">
      <alignment wrapText="1"/>
    </xf>
    <xf numFmtId="0" fontId="43" fillId="9" borderId="0" xfId="1" applyFont="1" applyFill="1" applyBorder="1"/>
    <xf numFmtId="0" fontId="43" fillId="9" borderId="14" xfId="1" applyFont="1" applyFill="1" applyBorder="1"/>
    <xf numFmtId="0" fontId="53" fillId="0" borderId="472" xfId="1" applyFont="1" applyBorder="1" applyAlignment="1">
      <alignment horizontal="right"/>
    </xf>
    <xf numFmtId="172" fontId="53" fillId="21" borderId="244" xfId="1" applyNumberFormat="1" applyFont="1" applyFill="1" applyBorder="1" applyAlignment="1">
      <alignment horizontal="right"/>
    </xf>
    <xf numFmtId="0" fontId="53" fillId="0" borderId="378" xfId="1" applyFont="1" applyBorder="1" applyAlignment="1">
      <alignment horizontal="right"/>
    </xf>
    <xf numFmtId="10" fontId="42" fillId="0" borderId="39" xfId="1" applyNumberFormat="1" applyFont="1" applyBorder="1" applyAlignment="1">
      <alignment horizontal="center"/>
    </xf>
    <xf numFmtId="10" fontId="56" fillId="3" borderId="460" xfId="1" applyNumberFormat="1" applyFont="1" applyFill="1" applyBorder="1" applyAlignment="1">
      <alignment wrapText="1"/>
    </xf>
    <xf numFmtId="0" fontId="43" fillId="0" borderId="461" xfId="1" applyFont="1" applyBorder="1"/>
    <xf numFmtId="0" fontId="43" fillId="0" borderId="463" xfId="1" applyFont="1" applyBorder="1" applyAlignment="1">
      <alignment horizontal="center" vertical="center"/>
    </xf>
    <xf numFmtId="171" fontId="42" fillId="9" borderId="105" xfId="1" applyNumberFormat="1" applyFont="1" applyFill="1" applyBorder="1" applyAlignment="1">
      <alignment horizontal="center"/>
    </xf>
    <xf numFmtId="170" fontId="43" fillId="9" borderId="104" xfId="1" applyNumberFormat="1" applyFont="1" applyFill="1" applyBorder="1" applyAlignment="1">
      <alignment horizontal="center"/>
    </xf>
    <xf numFmtId="10" fontId="42" fillId="9" borderId="104" xfId="1" applyNumberFormat="1" applyFont="1" applyFill="1" applyBorder="1" applyAlignment="1">
      <alignment horizontal="center"/>
    </xf>
    <xf numFmtId="170" fontId="42" fillId="9" borderId="477" xfId="1" applyNumberFormat="1" applyFont="1" applyFill="1" applyBorder="1"/>
    <xf numFmtId="172" fontId="53" fillId="0" borderId="0" xfId="1" applyNumberFormat="1" applyFont="1" applyBorder="1" applyAlignment="1">
      <alignment horizontal="right"/>
    </xf>
    <xf numFmtId="9" fontId="42" fillId="0" borderId="0" xfId="1" applyNumberFormat="1" applyFont="1" applyBorder="1" applyAlignment="1">
      <alignment wrapText="1"/>
    </xf>
    <xf numFmtId="171" fontId="43" fillId="0" borderId="14" xfId="1" applyNumberFormat="1" applyFont="1" applyBorder="1"/>
    <xf numFmtId="10" fontId="56" fillId="3" borderId="460" xfId="1" applyNumberFormat="1" applyFont="1" applyFill="1" applyBorder="1" applyAlignment="1">
      <alignment horizontal="center" vertical="center" wrapText="1"/>
    </xf>
    <xf numFmtId="0" fontId="43" fillId="0" borderId="461" xfId="1" applyFont="1" applyBorder="1" applyAlignment="1">
      <alignment horizontal="center" vertical="center"/>
    </xf>
    <xf numFmtId="9" fontId="42" fillId="3" borderId="0" xfId="1" applyNumberFormat="1" applyFont="1" applyFill="1" applyBorder="1" applyAlignment="1">
      <alignment wrapText="1"/>
    </xf>
    <xf numFmtId="171" fontId="43" fillId="3" borderId="14" xfId="1" applyNumberFormat="1" applyFont="1" applyFill="1" applyBorder="1"/>
    <xf numFmtId="171" fontId="42" fillId="9" borderId="101" xfId="1" applyNumberFormat="1" applyFont="1" applyFill="1" applyBorder="1" applyAlignment="1">
      <alignment horizontal="center"/>
    </xf>
    <xf numFmtId="170" fontId="43" fillId="9" borderId="100" xfId="1" applyNumberFormat="1" applyFont="1" applyFill="1" applyBorder="1" applyAlignment="1">
      <alignment horizontal="center"/>
    </xf>
    <xf numFmtId="10" fontId="42" fillId="9" borderId="100" xfId="1" applyNumberFormat="1" applyFont="1" applyFill="1" applyBorder="1" applyAlignment="1">
      <alignment horizontal="center"/>
    </xf>
    <xf numFmtId="170" fontId="42" fillId="9" borderId="375" xfId="1" applyNumberFormat="1" applyFont="1" applyFill="1" applyBorder="1" applyAlignment="1"/>
    <xf numFmtId="0" fontId="53" fillId="0" borderId="379" xfId="1" applyFont="1" applyBorder="1" applyAlignment="1">
      <alignment horizontal="right"/>
    </xf>
    <xf numFmtId="171" fontId="42" fillId="0" borderId="24" xfId="1" applyNumberFormat="1" applyFont="1" applyBorder="1" applyAlignment="1">
      <alignment horizontal="center"/>
    </xf>
    <xf numFmtId="10" fontId="42" fillId="0" borderId="99" xfId="1" applyNumberFormat="1" applyFont="1" applyBorder="1"/>
    <xf numFmtId="172" fontId="53" fillId="0" borderId="81" xfId="1" applyNumberFormat="1" applyFont="1" applyBorder="1" applyAlignment="1">
      <alignment horizontal="right"/>
    </xf>
    <xf numFmtId="9" fontId="42" fillId="0" borderId="78" xfId="1" applyNumberFormat="1" applyFont="1" applyBorder="1" applyAlignment="1">
      <alignment wrapText="1"/>
    </xf>
    <xf numFmtId="9" fontId="42" fillId="0" borderId="75" xfId="1" applyNumberFormat="1" applyFont="1" applyBorder="1" applyAlignment="1">
      <alignment wrapText="1"/>
    </xf>
    <xf numFmtId="171" fontId="43" fillId="0" borderId="427" xfId="1" applyNumberFormat="1" applyFont="1" applyBorder="1"/>
    <xf numFmtId="0" fontId="53" fillId="0" borderId="148" xfId="1" applyFont="1" applyBorder="1" applyAlignment="1">
      <alignment horizontal="right"/>
    </xf>
    <xf numFmtId="171" fontId="42" fillId="0" borderId="149" xfId="1" applyNumberFormat="1" applyFont="1" applyBorder="1" applyAlignment="1">
      <alignment horizontal="center"/>
    </xf>
    <xf numFmtId="10" fontId="42" fillId="0" borderId="381" xfId="1" applyNumberFormat="1" applyFont="1" applyBorder="1"/>
    <xf numFmtId="9" fontId="42" fillId="3" borderId="75" xfId="1" applyNumberFormat="1" applyFont="1" applyFill="1" applyBorder="1" applyAlignment="1">
      <alignment wrapText="1"/>
    </xf>
    <xf numFmtId="9" fontId="42" fillId="3" borderId="71" xfId="1" applyNumberFormat="1" applyFont="1" applyFill="1" applyBorder="1" applyAlignment="1">
      <alignment wrapText="1"/>
    </xf>
    <xf numFmtId="171" fontId="43" fillId="3" borderId="430" xfId="1" applyNumberFormat="1" applyFont="1" applyFill="1" applyBorder="1"/>
    <xf numFmtId="172" fontId="53" fillId="0" borderId="244" xfId="1" applyNumberFormat="1" applyFont="1" applyBorder="1" applyAlignment="1">
      <alignment horizontal="right"/>
    </xf>
    <xf numFmtId="171" fontId="43" fillId="3" borderId="431" xfId="1" applyNumberFormat="1" applyFont="1" applyFill="1" applyBorder="1"/>
    <xf numFmtId="10" fontId="56" fillId="3" borderId="119" xfId="1" applyNumberFormat="1" applyFont="1" applyFill="1" applyBorder="1" applyAlignment="1">
      <alignment horizontal="center" vertical="center" wrapText="1"/>
    </xf>
    <xf numFmtId="0" fontId="43" fillId="0" borderId="120" xfId="1" applyFont="1" applyBorder="1" applyAlignment="1">
      <alignment horizontal="center" vertical="center"/>
    </xf>
    <xf numFmtId="0" fontId="48" fillId="0" borderId="0" xfId="1" applyFont="1" applyBorder="1" applyAlignment="1">
      <alignment horizontal="center" vertical="center"/>
    </xf>
    <xf numFmtId="0" fontId="53" fillId="0" borderId="414" xfId="1" applyFont="1" applyBorder="1" applyAlignment="1">
      <alignment horizontal="right"/>
    </xf>
    <xf numFmtId="9" fontId="42" fillId="3" borderId="142" xfId="1" applyNumberFormat="1" applyFont="1" applyFill="1" applyBorder="1" applyAlignment="1">
      <alignment wrapText="1"/>
    </xf>
    <xf numFmtId="171" fontId="43" fillId="3" borderId="160" xfId="1" applyNumberFormat="1" applyFont="1" applyFill="1" applyBorder="1"/>
    <xf numFmtId="10" fontId="56" fillId="3" borderId="260" xfId="1" applyNumberFormat="1" applyFont="1" applyFill="1" applyBorder="1" applyAlignment="1">
      <alignment horizontal="center" vertical="center" wrapText="1"/>
    </xf>
    <xf numFmtId="0" fontId="43" fillId="0" borderId="466" xfId="1" applyFont="1" applyBorder="1" applyAlignment="1">
      <alignment horizontal="center" vertical="center"/>
    </xf>
    <xf numFmtId="0" fontId="43" fillId="0" borderId="118" xfId="1" applyFont="1" applyBorder="1" applyAlignment="1">
      <alignment horizontal="center" vertical="center"/>
    </xf>
    <xf numFmtId="0" fontId="38" fillId="0" borderId="115" xfId="0" applyNumberFormat="1" applyFont="1" applyBorder="1"/>
    <xf numFmtId="0" fontId="38" fillId="0" borderId="14" xfId="0" applyNumberFormat="1" applyFont="1" applyBorder="1"/>
    <xf numFmtId="2" fontId="38" fillId="0" borderId="116" xfId="0" applyNumberFormat="1" applyFont="1" applyBorder="1"/>
    <xf numFmtId="2" fontId="38" fillId="0" borderId="15" xfId="0" applyNumberFormat="1" applyFont="1" applyBorder="1"/>
    <xf numFmtId="0" fontId="38" fillId="0" borderId="369" xfId="0" applyNumberFormat="1" applyFont="1" applyBorder="1"/>
    <xf numFmtId="2" fontId="38" fillId="8" borderId="247" xfId="0" applyNumberFormat="1" applyFont="1" applyFill="1" applyBorder="1"/>
    <xf numFmtId="0" fontId="48" fillId="0" borderId="238" xfId="1" applyFont="1" applyBorder="1" applyAlignment="1"/>
    <xf numFmtId="175" fontId="48" fillId="0" borderId="383" xfId="1" applyNumberFormat="1" applyFont="1" applyBorder="1" applyAlignment="1"/>
    <xf numFmtId="0" fontId="48" fillId="0" borderId="401" xfId="1" quotePrefix="1" applyFont="1" applyBorder="1" applyAlignment="1"/>
    <xf numFmtId="0" fontId="48" fillId="0" borderId="241" xfId="1" quotePrefix="1" applyFont="1" applyBorder="1" applyAlignment="1"/>
    <xf numFmtId="175" fontId="48" fillId="0" borderId="166" xfId="1" applyNumberFormat="1" applyFont="1" applyBorder="1" applyAlignment="1"/>
    <xf numFmtId="0" fontId="48" fillId="0" borderId="12" xfId="1" quotePrefix="1" applyFont="1" applyBorder="1" applyAlignment="1"/>
    <xf numFmtId="0" fontId="48" fillId="0" borderId="242" xfId="1" quotePrefix="1" applyFont="1" applyBorder="1" applyAlignment="1"/>
    <xf numFmtId="0" fontId="48" fillId="0" borderId="237" xfId="1" applyFont="1" applyFill="1" applyBorder="1" applyAlignment="1"/>
    <xf numFmtId="0" fontId="48" fillId="0" borderId="162" xfId="1" applyFont="1" applyFill="1" applyBorder="1" applyAlignment="1"/>
    <xf numFmtId="0" fontId="38" fillId="54" borderId="0" xfId="0" applyFont="1" applyFill="1"/>
    <xf numFmtId="0" fontId="39" fillId="54" borderId="0" xfId="0" applyFont="1" applyFill="1"/>
    <xf numFmtId="0" fontId="39" fillId="0" borderId="0" xfId="0" applyFont="1" applyFill="1"/>
    <xf numFmtId="172" fontId="38" fillId="27" borderId="176" xfId="8" applyNumberFormat="1" applyFont="1" applyFill="1" applyBorder="1" applyAlignment="1" applyProtection="1">
      <alignment horizontal="center" wrapText="1"/>
      <protection locked="0"/>
    </xf>
    <xf numFmtId="177" fontId="43" fillId="0" borderId="14" xfId="1" applyNumberFormat="1" applyFont="1" applyFill="1" applyBorder="1"/>
    <xf numFmtId="167" fontId="43" fillId="0" borderId="14" xfId="1" applyNumberFormat="1" applyFont="1" applyBorder="1"/>
    <xf numFmtId="172" fontId="43" fillId="0" borderId="15" xfId="1" applyNumberFormat="1" applyFont="1" applyFill="1" applyBorder="1"/>
    <xf numFmtId="181" fontId="43" fillId="0" borderId="14" xfId="1" applyNumberFormat="1" applyFont="1" applyFill="1" applyBorder="1"/>
    <xf numFmtId="180" fontId="43" fillId="0" borderId="14" xfId="1" applyNumberFormat="1" applyFont="1" applyFill="1" applyBorder="1"/>
    <xf numFmtId="185" fontId="43" fillId="0" borderId="0" xfId="1" applyNumberFormat="1" applyFont="1" applyBorder="1"/>
    <xf numFmtId="185" fontId="43" fillId="0" borderId="0" xfId="1" applyNumberFormat="1" applyFont="1" applyFill="1" applyBorder="1"/>
    <xf numFmtId="185" fontId="43" fillId="0" borderId="14" xfId="1" applyNumberFormat="1" applyFont="1" applyFill="1" applyBorder="1"/>
    <xf numFmtId="185" fontId="43" fillId="0" borderId="118" xfId="1" applyNumberFormat="1" applyFont="1" applyBorder="1"/>
    <xf numFmtId="185" fontId="43" fillId="0" borderId="118" xfId="1" applyNumberFormat="1" applyFont="1" applyFill="1" applyBorder="1"/>
    <xf numFmtId="185" fontId="43" fillId="0" borderId="15" xfId="1" applyNumberFormat="1" applyFont="1" applyFill="1" applyBorder="1"/>
    <xf numFmtId="0" fontId="39" fillId="8" borderId="151" xfId="0" applyFont="1" applyFill="1" applyBorder="1" applyAlignment="1">
      <alignment horizontal="center" wrapText="1"/>
    </xf>
    <xf numFmtId="0" fontId="39" fillId="8" borderId="398" xfId="0" applyFont="1" applyFill="1" applyBorder="1" applyAlignment="1">
      <alignment horizontal="center" wrapText="1"/>
    </xf>
    <xf numFmtId="0" fontId="39" fillId="8" borderId="399" xfId="0" applyNumberFormat="1" applyFont="1" applyFill="1" applyBorder="1" applyAlignment="1">
      <alignment horizontal="center" wrapText="1"/>
    </xf>
    <xf numFmtId="0" fontId="38" fillId="0" borderId="478" xfId="0" applyFont="1" applyFill="1" applyBorder="1"/>
    <xf numFmtId="0" fontId="38" fillId="0" borderId="478" xfId="0" applyFont="1" applyBorder="1"/>
    <xf numFmtId="0" fontId="38" fillId="0" borderId="244" xfId="0" applyNumberFormat="1" applyFont="1" applyBorder="1"/>
    <xf numFmtId="170" fontId="38" fillId="0" borderId="246" xfId="0" applyNumberFormat="1" applyFont="1" applyBorder="1"/>
    <xf numFmtId="175" fontId="48" fillId="0" borderId="115" xfId="1" applyNumberFormat="1" applyFont="1" applyBorder="1" applyAlignment="1"/>
    <xf numFmtId="175" fontId="48" fillId="0" borderId="15" xfId="1" applyNumberFormat="1" applyFont="1" applyBorder="1" applyAlignment="1"/>
    <xf numFmtId="2" fontId="38" fillId="0" borderId="238" xfId="0" applyNumberFormat="1" applyFont="1" applyBorder="1"/>
    <xf numFmtId="0" fontId="44" fillId="8" borderId="247" xfId="0" applyFont="1" applyFill="1" applyBorder="1"/>
    <xf numFmtId="0" fontId="45" fillId="0" borderId="238" xfId="0" applyFont="1" applyBorder="1"/>
    <xf numFmtId="0" fontId="39" fillId="8" borderId="247" xfId="0" applyFont="1" applyFill="1" applyBorder="1" applyAlignment="1">
      <alignment horizontal="center"/>
    </xf>
    <xf numFmtId="0" fontId="39" fillId="8" borderId="123" xfId="0" applyFont="1" applyFill="1" applyBorder="1" applyAlignment="1">
      <alignment horizontal="center"/>
    </xf>
    <xf numFmtId="0" fontId="39" fillId="8" borderId="407" xfId="0" applyNumberFormat="1" applyFont="1" applyFill="1" applyBorder="1" applyAlignment="1">
      <alignment horizontal="center"/>
    </xf>
    <xf numFmtId="0" fontId="39" fillId="8" borderId="365" xfId="0" applyFont="1" applyFill="1" applyBorder="1" applyAlignment="1">
      <alignment horizontal="center"/>
    </xf>
    <xf numFmtId="0" fontId="44" fillId="8" borderId="17" xfId="1" applyFont="1" applyFill="1" applyBorder="1" applyAlignment="1"/>
    <xf numFmtId="0" fontId="44" fillId="8" borderId="482" xfId="1" applyFont="1" applyFill="1" applyBorder="1" applyAlignment="1"/>
    <xf numFmtId="0" fontId="44" fillId="8" borderId="483" xfId="1" applyFont="1" applyFill="1" applyBorder="1" applyAlignment="1"/>
    <xf numFmtId="164" fontId="44" fillId="8" borderId="483" xfId="1" applyNumberFormat="1" applyFont="1" applyFill="1" applyBorder="1" applyAlignment="1"/>
    <xf numFmtId="0" fontId="44" fillId="8" borderId="484" xfId="1" applyFont="1" applyFill="1" applyBorder="1" applyAlignment="1"/>
    <xf numFmtId="0" fontId="44" fillId="8" borderId="485" xfId="1" applyFont="1" applyFill="1" applyBorder="1" applyAlignment="1"/>
    <xf numFmtId="0" fontId="48" fillId="0" borderId="118" xfId="1" applyFont="1" applyBorder="1" applyAlignment="1">
      <alignment horizontal="right"/>
    </xf>
    <xf numFmtId="188" fontId="44" fillId="2" borderId="118" xfId="6" applyNumberFormat="1" applyFont="1" applyFill="1" applyBorder="1" applyAlignment="1">
      <alignment horizontal="right"/>
    </xf>
    <xf numFmtId="0" fontId="44" fillId="8" borderId="358" xfId="1" applyFont="1" applyFill="1" applyBorder="1" applyAlignment="1"/>
    <xf numFmtId="3" fontId="43" fillId="0" borderId="16" xfId="1" applyNumberFormat="1" applyFont="1" applyBorder="1"/>
    <xf numFmtId="0" fontId="48" fillId="0" borderId="486" xfId="1" applyFont="1" applyBorder="1" applyAlignment="1"/>
    <xf numFmtId="188" fontId="48" fillId="0" borderId="479" xfId="1" applyNumberFormat="1" applyFont="1" applyBorder="1" applyAlignment="1"/>
    <xf numFmtId="188" fontId="48" fillId="0" borderId="15" xfId="1" applyNumberFormat="1" applyFont="1" applyBorder="1" applyAlignment="1"/>
    <xf numFmtId="0" fontId="44" fillId="8" borderId="112" xfId="1" applyFont="1" applyFill="1" applyBorder="1" applyAlignment="1"/>
    <xf numFmtId="4" fontId="43" fillId="0" borderId="112" xfId="1" applyNumberFormat="1" applyFont="1" applyBorder="1" applyAlignment="1">
      <alignment horizontal="left"/>
    </xf>
    <xf numFmtId="185" fontId="43" fillId="0" borderId="16" xfId="1" applyNumberFormat="1" applyFont="1" applyBorder="1"/>
    <xf numFmtId="4" fontId="42" fillId="0" borderId="112" xfId="1" applyNumberFormat="1" applyFont="1" applyBorder="1" applyAlignment="1">
      <alignment horizontal="left"/>
    </xf>
    <xf numFmtId="4" fontId="42" fillId="0" borderId="112" xfId="1" applyNumberFormat="1" applyFont="1" applyBorder="1" applyAlignment="1"/>
    <xf numFmtId="164" fontId="38" fillId="0" borderId="238" xfId="0" applyNumberFormat="1" applyFont="1" applyBorder="1" applyAlignment="1">
      <alignment horizontal="left"/>
    </xf>
    <xf numFmtId="164" fontId="38" fillId="0" borderId="238" xfId="0" applyNumberFormat="1" applyFont="1" applyBorder="1" applyAlignment="1"/>
    <xf numFmtId="164" fontId="38" fillId="0" borderId="238" xfId="0" applyNumberFormat="1" applyFont="1" applyFill="1" applyBorder="1" applyAlignment="1">
      <alignment horizontal="left"/>
    </xf>
    <xf numFmtId="0" fontId="39" fillId="0" borderId="118" xfId="0" applyNumberFormat="1" applyFont="1" applyBorder="1" applyAlignment="1">
      <alignment horizontal="center"/>
    </xf>
    <xf numFmtId="0" fontId="42" fillId="50" borderId="358" xfId="1" applyFont="1" applyFill="1" applyBorder="1" applyAlignment="1">
      <alignment horizontal="center" wrapText="1"/>
    </xf>
    <xf numFmtId="171" fontId="13" fillId="0" borderId="24" xfId="1" applyNumberFormat="1" applyFont="1" applyBorder="1"/>
    <xf numFmtId="171" fontId="13" fillId="0" borderId="23" xfId="1" applyNumberFormat="1" applyFont="1" applyBorder="1"/>
    <xf numFmtId="171" fontId="13" fillId="0" borderId="22" xfId="1" applyNumberFormat="1" applyFont="1" applyBorder="1"/>
    <xf numFmtId="171" fontId="12" fillId="18" borderId="20" xfId="1" applyNumberFormat="1" applyFont="1" applyFill="1" applyBorder="1"/>
    <xf numFmtId="171" fontId="12" fillId="18" borderId="19" xfId="1" applyNumberFormat="1" applyFont="1" applyFill="1" applyBorder="1"/>
    <xf numFmtId="173" fontId="13" fillId="0" borderId="43" xfId="1" applyNumberFormat="1" applyFont="1" applyBorder="1"/>
    <xf numFmtId="173" fontId="13" fillId="0" borderId="42" xfId="1" applyNumberFormat="1" applyFont="1" applyBorder="1"/>
    <xf numFmtId="173" fontId="13" fillId="0" borderId="41" xfId="1" applyNumberFormat="1" applyFont="1" applyBorder="1"/>
    <xf numFmtId="173" fontId="13" fillId="0" borderId="43" xfId="1" applyNumberFormat="1" applyFont="1" applyBorder="1" applyAlignment="1"/>
    <xf numFmtId="173" fontId="13" fillId="0" borderId="42" xfId="1" applyNumberFormat="1" applyFont="1" applyBorder="1" applyAlignment="1"/>
    <xf numFmtId="173" fontId="13" fillId="0" borderId="41" xfId="1" applyNumberFormat="1" applyFont="1" applyBorder="1" applyAlignment="1"/>
    <xf numFmtId="173" fontId="13" fillId="0" borderId="40" xfId="1" applyNumberFormat="1" applyFont="1" applyBorder="1"/>
    <xf numFmtId="173" fontId="13" fillId="0" borderId="39" xfId="1" applyNumberFormat="1" applyFont="1" applyBorder="1"/>
    <xf numFmtId="173" fontId="13" fillId="0" borderId="38" xfId="1" applyNumberFormat="1" applyFont="1" applyBorder="1"/>
    <xf numFmtId="171" fontId="12" fillId="20" borderId="20" xfId="1" applyNumberFormat="1" applyFont="1" applyFill="1" applyBorder="1"/>
    <xf numFmtId="171" fontId="12" fillId="20" borderId="19" xfId="1" applyNumberFormat="1" applyFont="1" applyFill="1" applyBorder="1"/>
    <xf numFmtId="0" fontId="44" fillId="0" borderId="113" xfId="1" applyFont="1" applyBorder="1" applyAlignment="1">
      <alignment horizontal="center"/>
    </xf>
    <xf numFmtId="0" fontId="44" fillId="0" borderId="16" xfId="1" applyFont="1" applyBorder="1" applyAlignment="1">
      <alignment horizontal="center"/>
    </xf>
    <xf numFmtId="0" fontId="44" fillId="0" borderId="157" xfId="1" applyFont="1" applyBorder="1" applyAlignment="1">
      <alignment horizontal="center"/>
    </xf>
    <xf numFmtId="0" fontId="44" fillId="0" borderId="115" xfId="1" applyFont="1" applyBorder="1" applyAlignment="1">
      <alignment horizontal="center"/>
    </xf>
    <xf numFmtId="171" fontId="13" fillId="3" borderId="23" xfId="1" applyNumberFormat="1" applyFont="1" applyFill="1" applyBorder="1"/>
    <xf numFmtId="171" fontId="12" fillId="6" borderId="20" xfId="1" applyNumberFormat="1" applyFont="1" applyFill="1" applyBorder="1"/>
    <xf numFmtId="171" fontId="12" fillId="6" borderId="19" xfId="1" applyNumberFormat="1" applyFont="1" applyFill="1" applyBorder="1"/>
    <xf numFmtId="171" fontId="43" fillId="0" borderId="77" xfId="1" applyNumberFormat="1" applyFont="1" applyBorder="1"/>
    <xf numFmtId="171" fontId="43" fillId="3" borderId="74" xfId="1" applyNumberFormat="1" applyFont="1" applyFill="1" applyBorder="1"/>
    <xf numFmtId="173" fontId="43" fillId="0" borderId="77" xfId="1" applyNumberFormat="1" applyFont="1" applyBorder="1"/>
    <xf numFmtId="173" fontId="43" fillId="3" borderId="74" xfId="1" applyNumberFormat="1" applyFont="1" applyFill="1" applyBorder="1"/>
    <xf numFmtId="0" fontId="38" fillId="0" borderId="383" xfId="0" applyFont="1" applyBorder="1" applyAlignment="1">
      <alignment wrapText="1"/>
    </xf>
    <xf numFmtId="170" fontId="38" fillId="0" borderId="166" xfId="0" applyNumberFormat="1" applyFont="1" applyBorder="1" applyAlignment="1">
      <alignment wrapText="1"/>
    </xf>
    <xf numFmtId="0" fontId="38" fillId="0" borderId="479" xfId="0" applyNumberFormat="1" applyFont="1" applyBorder="1" applyAlignment="1">
      <alignment wrapText="1"/>
    </xf>
    <xf numFmtId="173" fontId="42" fillId="0" borderId="78" xfId="1" applyNumberFormat="1" applyFont="1" applyBorder="1" applyAlignment="1">
      <alignment wrapText="1"/>
    </xf>
    <xf numFmtId="173" fontId="42" fillId="3" borderId="75" xfId="1" applyNumberFormat="1" applyFont="1" applyFill="1" applyBorder="1" applyAlignment="1">
      <alignment wrapText="1"/>
    </xf>
    <xf numFmtId="171" fontId="43" fillId="0" borderId="0" xfId="1" applyNumberFormat="1" applyFont="1" applyBorder="1"/>
    <xf numFmtId="0" fontId="39" fillId="8" borderId="167" xfId="0" applyFont="1" applyFill="1" applyBorder="1" applyAlignment="1">
      <alignment horizontal="center"/>
    </xf>
    <xf numFmtId="173" fontId="43" fillId="0" borderId="0" xfId="1" applyNumberFormat="1" applyFont="1" applyBorder="1"/>
    <xf numFmtId="173" fontId="43" fillId="3" borderId="0" xfId="1" applyNumberFormat="1" applyFont="1" applyFill="1" applyBorder="1"/>
    <xf numFmtId="0" fontId="38" fillId="0" borderId="404" xfId="0" applyFont="1" applyBorder="1" applyAlignment="1">
      <alignment wrapText="1"/>
    </xf>
    <xf numFmtId="170" fontId="38" fillId="0" borderId="136" xfId="0" applyNumberFormat="1" applyFont="1" applyBorder="1" applyAlignment="1">
      <alignment wrapText="1"/>
    </xf>
    <xf numFmtId="0" fontId="38" fillId="0" borderId="295" xfId="0" applyNumberFormat="1" applyFont="1" applyBorder="1" applyAlignment="1">
      <alignment wrapText="1"/>
    </xf>
    <xf numFmtId="171" fontId="43" fillId="3" borderId="0" xfId="1" applyNumberFormat="1" applyFont="1" applyFill="1" applyBorder="1"/>
    <xf numFmtId="171" fontId="43" fillId="0" borderId="74" xfId="1" applyNumberFormat="1" applyFont="1" applyBorder="1"/>
    <xf numFmtId="171" fontId="43" fillId="3" borderId="70" xfId="1" applyNumberFormat="1" applyFont="1" applyFill="1" applyBorder="1"/>
    <xf numFmtId="173" fontId="43" fillId="0" borderId="74" xfId="1" applyNumberFormat="1" applyFont="1" applyBorder="1"/>
    <xf numFmtId="173" fontId="43" fillId="3" borderId="70" xfId="1" applyNumberFormat="1" applyFont="1" applyFill="1" applyBorder="1"/>
    <xf numFmtId="173" fontId="43" fillId="3" borderId="69" xfId="1" applyNumberFormat="1" applyFont="1" applyFill="1" applyBorder="1"/>
    <xf numFmtId="0" fontId="48" fillId="8" borderId="114" xfId="1" applyFont="1" applyFill="1" applyBorder="1" applyAlignment="1"/>
    <xf numFmtId="1" fontId="48" fillId="8" borderId="117" xfId="1" applyNumberFormat="1" applyFont="1" applyFill="1" applyBorder="1" applyAlignment="1"/>
    <xf numFmtId="0" fontId="39" fillId="8" borderId="17" xfId="0" applyFont="1" applyFill="1" applyBorder="1" applyAlignment="1"/>
    <xf numFmtId="171" fontId="43" fillId="3" borderId="142" xfId="1" applyNumberFormat="1" applyFont="1" applyFill="1" applyBorder="1"/>
    <xf numFmtId="171" fontId="43" fillId="0" borderId="142" xfId="1" applyNumberFormat="1" applyFont="1" applyBorder="1"/>
    <xf numFmtId="173" fontId="43" fillId="3" borderId="142" xfId="1" applyNumberFormat="1" applyFont="1" applyFill="1" applyBorder="1"/>
    <xf numFmtId="0" fontId="42" fillId="53" borderId="17" xfId="1" applyFont="1" applyFill="1" applyBorder="1" applyAlignment="1">
      <alignment horizontal="center" vertical="center" wrapText="1"/>
    </xf>
    <xf numFmtId="169" fontId="48" fillId="0" borderId="14" xfId="6" applyFont="1" applyBorder="1" applyAlignment="1">
      <alignment horizontal="right"/>
    </xf>
    <xf numFmtId="169" fontId="48" fillId="22" borderId="14" xfId="6" applyFont="1" applyFill="1" applyBorder="1" applyAlignment="1">
      <alignment horizontal="right"/>
    </xf>
    <xf numFmtId="0" fontId="43" fillId="0" borderId="117" xfId="0" applyFont="1" applyBorder="1" applyAlignment="1"/>
    <xf numFmtId="169" fontId="43" fillId="0" borderId="118" xfId="6" applyFont="1" applyBorder="1" applyAlignment="1"/>
    <xf numFmtId="1" fontId="44" fillId="0" borderId="242" xfId="6" applyNumberFormat="1" applyFont="1" applyFill="1" applyBorder="1" applyAlignment="1">
      <alignment horizontal="right"/>
    </xf>
    <xf numFmtId="188" fontId="44" fillId="2" borderId="242" xfId="6" applyNumberFormat="1" applyFont="1" applyFill="1" applyBorder="1" applyAlignment="1">
      <alignment horizontal="right"/>
    </xf>
    <xf numFmtId="188" fontId="44" fillId="2" borderId="15" xfId="6" applyNumberFormat="1" applyFont="1" applyFill="1" applyBorder="1" applyAlignment="1">
      <alignment horizontal="right"/>
    </xf>
    <xf numFmtId="0" fontId="42" fillId="54" borderId="458" xfId="1" applyFont="1" applyFill="1" applyBorder="1" applyAlignment="1">
      <alignment horizontal="center" vertical="center" wrapText="1"/>
    </xf>
    <xf numFmtId="0" fontId="42" fillId="54" borderId="426" xfId="1" applyFont="1" applyFill="1" applyBorder="1" applyAlignment="1">
      <alignment horizontal="center" vertical="center" wrapText="1"/>
    </xf>
    <xf numFmtId="171" fontId="43" fillId="0" borderId="103" xfId="1" applyNumberFormat="1" applyFont="1" applyBorder="1" applyAlignment="1">
      <alignment horizontal="center"/>
    </xf>
    <xf numFmtId="171" fontId="42" fillId="0" borderId="438" xfId="1" applyNumberFormat="1" applyFont="1" applyBorder="1" applyAlignment="1"/>
    <xf numFmtId="172" fontId="42" fillId="54" borderId="118" xfId="1" applyNumberFormat="1" applyFont="1" applyFill="1" applyBorder="1" applyAlignment="1">
      <alignment horizontal="center" vertical="center"/>
    </xf>
    <xf numFmtId="171" fontId="42" fillId="54" borderId="467" xfId="1" applyNumberFormat="1" applyFont="1" applyFill="1" applyBorder="1" applyAlignment="1">
      <alignment horizontal="center" vertical="center"/>
    </xf>
    <xf numFmtId="171" fontId="42" fillId="54" borderId="468" xfId="1" applyNumberFormat="1" applyFont="1" applyFill="1" applyBorder="1" applyAlignment="1">
      <alignment horizontal="center" vertical="center"/>
    </xf>
    <xf numFmtId="171" fontId="42" fillId="54" borderId="428" xfId="1" applyNumberFormat="1" applyFont="1" applyFill="1" applyBorder="1" applyAlignment="1">
      <alignment horizontal="center" vertical="center"/>
    </xf>
    <xf numFmtId="171" fontId="42" fillId="54" borderId="68" xfId="1" applyNumberFormat="1" applyFont="1" applyFill="1" applyBorder="1" applyAlignment="1">
      <alignment horizontal="center" vertical="center"/>
    </xf>
    <xf numFmtId="172" fontId="42" fillId="54" borderId="0" xfId="1" applyNumberFormat="1" applyFont="1" applyFill="1" applyBorder="1" applyAlignment="1">
      <alignment horizontal="center" vertical="center"/>
    </xf>
    <xf numFmtId="172" fontId="42" fillId="54" borderId="244" xfId="1" applyNumberFormat="1" applyFont="1" applyFill="1" applyBorder="1" applyAlignment="1">
      <alignment horizontal="center" vertical="center"/>
    </xf>
    <xf numFmtId="171" fontId="42" fillId="54" borderId="465" xfId="1" applyNumberFormat="1" applyFont="1" applyFill="1" applyBorder="1" applyAlignment="1">
      <alignment horizontal="center" vertical="center"/>
    </xf>
    <xf numFmtId="171" fontId="42" fillId="54" borderId="464" xfId="1" applyNumberFormat="1" applyFont="1" applyFill="1" applyBorder="1" applyAlignment="1">
      <alignment horizontal="center" vertical="center"/>
    </xf>
    <xf numFmtId="0" fontId="48" fillId="0" borderId="414" xfId="1" applyFont="1" applyBorder="1" applyAlignment="1"/>
    <xf numFmtId="164" fontId="48" fillId="0" borderId="142" xfId="1" applyNumberFormat="1" applyFont="1" applyBorder="1" applyAlignment="1"/>
    <xf numFmtId="0" fontId="48" fillId="0" borderId="160" xfId="1" applyFont="1" applyBorder="1" applyAlignment="1"/>
    <xf numFmtId="172" fontId="42" fillId="54" borderId="244" xfId="1" applyNumberFormat="1" applyFont="1" applyFill="1" applyBorder="1" applyAlignment="1">
      <alignment horizontal="center"/>
    </xf>
    <xf numFmtId="171" fontId="42" fillId="54" borderId="462" xfId="1" applyNumberFormat="1" applyFont="1" applyFill="1" applyBorder="1" applyAlignment="1">
      <alignment horizontal="center" vertical="center"/>
    </xf>
    <xf numFmtId="0" fontId="38" fillId="21" borderId="142" xfId="0" applyFont="1" applyFill="1" applyBorder="1"/>
    <xf numFmtId="0" fontId="38" fillId="21" borderId="160" xfId="0" applyFont="1" applyFill="1" applyBorder="1"/>
    <xf numFmtId="172" fontId="42" fillId="21" borderId="142" xfId="1" applyNumberFormat="1" applyFont="1" applyFill="1" applyBorder="1" applyAlignment="1">
      <alignment horizontal="center" wrapText="1"/>
    </xf>
    <xf numFmtId="0" fontId="42" fillId="21" borderId="8" xfId="1" applyFont="1" applyFill="1" applyBorder="1" applyAlignment="1">
      <alignment horizontal="center" wrapText="1"/>
    </xf>
    <xf numFmtId="0" fontId="42" fillId="21" borderId="382" xfId="1" applyFont="1" applyFill="1" applyBorder="1" applyAlignment="1">
      <alignment horizontal="center" wrapText="1"/>
    </xf>
    <xf numFmtId="9" fontId="42" fillId="0" borderId="42" xfId="1" applyNumberFormat="1" applyFont="1" applyBorder="1" applyAlignment="1">
      <alignment horizontal="center"/>
    </xf>
    <xf numFmtId="9" fontId="42" fillId="0" borderId="39" xfId="1" applyNumberFormat="1" applyFont="1" applyBorder="1" applyAlignment="1">
      <alignment horizontal="center"/>
    </xf>
    <xf numFmtId="172" fontId="42" fillId="21" borderId="469" xfId="1" applyNumberFormat="1" applyFont="1" applyFill="1" applyBorder="1" applyAlignment="1">
      <alignment horizontal="center" wrapText="1"/>
    </xf>
    <xf numFmtId="0" fontId="42" fillId="21" borderId="66" xfId="1" applyFont="1" applyFill="1" applyBorder="1" applyAlignment="1">
      <alignment horizontal="center" wrapText="1"/>
    </xf>
    <xf numFmtId="0" fontId="42" fillId="21" borderId="429" xfId="1" applyFont="1" applyFill="1" applyBorder="1" applyAlignment="1">
      <alignment horizontal="center" wrapText="1"/>
    </xf>
    <xf numFmtId="0" fontId="42" fillId="54" borderId="241" xfId="1" applyFont="1" applyFill="1" applyBorder="1" applyAlignment="1">
      <alignment horizontal="center" wrapText="1"/>
    </xf>
    <xf numFmtId="9" fontId="42" fillId="0" borderId="103" xfId="1" applyNumberFormat="1" applyFont="1" applyBorder="1" applyAlignment="1">
      <alignment horizontal="center"/>
    </xf>
    <xf numFmtId="9" fontId="42" fillId="0" borderId="102" xfId="1" applyNumberFormat="1" applyFont="1" applyBorder="1" applyAlignment="1">
      <alignment horizontal="center"/>
    </xf>
    <xf numFmtId="0" fontId="42" fillId="53" borderId="475" xfId="1" applyFont="1" applyFill="1" applyBorder="1" applyAlignment="1">
      <alignment horizontal="center" wrapText="1"/>
    </xf>
    <xf numFmtId="0" fontId="42" fillId="54" borderId="473" xfId="1" applyFont="1" applyFill="1" applyBorder="1" applyAlignment="1">
      <alignment horizontal="center" wrapText="1"/>
    </xf>
    <xf numFmtId="0" fontId="42" fillId="53" borderId="474" xfId="1" applyFont="1" applyFill="1" applyBorder="1" applyAlignment="1">
      <alignment horizontal="center" wrapText="1"/>
    </xf>
    <xf numFmtId="0" fontId="42" fillId="53" borderId="474" xfId="1" applyFont="1" applyFill="1" applyBorder="1" applyAlignment="1">
      <alignment horizontal="center" vertical="center" wrapText="1"/>
    </xf>
    <xf numFmtId="171" fontId="43" fillId="0" borderId="23" xfId="1" applyNumberFormat="1" applyFont="1" applyBorder="1" applyAlignment="1">
      <alignment horizontal="center"/>
    </xf>
    <xf numFmtId="171" fontId="43" fillId="0" borderId="380" xfId="1" applyNumberFormat="1" applyFont="1" applyBorder="1" applyAlignment="1">
      <alignment horizontal="center"/>
    </xf>
    <xf numFmtId="173" fontId="42" fillId="0" borderId="23" xfId="1" applyNumberFormat="1" applyFont="1" applyBorder="1" applyAlignment="1">
      <alignment horizontal="center"/>
    </xf>
    <xf numFmtId="173" fontId="42" fillId="0" borderId="380" xfId="1" applyNumberFormat="1" applyFont="1" applyBorder="1" applyAlignment="1">
      <alignment horizontal="center"/>
    </xf>
    <xf numFmtId="9" fontId="42" fillId="0" borderId="23" xfId="1" applyNumberFormat="1" applyFont="1" applyBorder="1" applyAlignment="1">
      <alignment horizontal="center"/>
    </xf>
    <xf numFmtId="9" fontId="42" fillId="0" borderId="380" xfId="1" applyNumberFormat="1" applyFont="1" applyBorder="1" applyAlignment="1">
      <alignment horizontal="center"/>
    </xf>
    <xf numFmtId="171" fontId="43" fillId="0" borderId="99" xfId="1" applyNumberFormat="1" applyFont="1" applyBorder="1" applyAlignment="1">
      <alignment horizontal="center"/>
    </xf>
    <xf numFmtId="171" fontId="43" fillId="0" borderId="381" xfId="1" applyNumberFormat="1" applyFont="1" applyBorder="1" applyAlignment="1">
      <alignment horizontal="center"/>
    </xf>
    <xf numFmtId="0" fontId="42" fillId="53" borderId="261" xfId="1" applyFont="1" applyFill="1" applyBorder="1" applyAlignment="1">
      <alignment horizontal="center" vertical="center" wrapText="1"/>
    </xf>
    <xf numFmtId="171" fontId="42" fillId="0" borderId="376" xfId="1" applyNumberFormat="1" applyFont="1" applyBorder="1" applyAlignment="1"/>
    <xf numFmtId="171" fontId="42" fillId="0" borderId="150" xfId="1" applyNumberFormat="1" applyFont="1" applyBorder="1" applyAlignment="1"/>
    <xf numFmtId="0" fontId="42" fillId="54" borderId="127" xfId="1" applyFont="1" applyFill="1" applyBorder="1" applyAlignment="1">
      <alignment horizontal="center" wrapText="1"/>
    </xf>
    <xf numFmtId="171" fontId="25" fillId="9" borderId="0" xfId="1" applyNumberFormat="1" applyFont="1" applyFill="1" applyBorder="1" applyAlignment="1">
      <alignment horizontal="center"/>
    </xf>
    <xf numFmtId="171" fontId="25" fillId="9" borderId="244" xfId="1" applyNumberFormat="1" applyFont="1" applyFill="1" applyBorder="1" applyAlignment="1">
      <alignment horizontal="center"/>
    </xf>
    <xf numFmtId="171" fontId="25" fillId="35" borderId="260" xfId="1" applyNumberFormat="1" applyFont="1" applyFill="1" applyBorder="1" applyAlignment="1">
      <alignment horizontal="center"/>
    </xf>
    <xf numFmtId="0" fontId="42" fillId="54" borderId="129" xfId="1" applyFont="1" applyFill="1" applyBorder="1" applyAlignment="1">
      <alignment horizontal="center" wrapText="1"/>
    </xf>
    <xf numFmtId="171" fontId="24" fillId="9" borderId="9" xfId="1" applyNumberFormat="1" applyFont="1" applyFill="1" applyBorder="1"/>
    <xf numFmtId="171" fontId="24" fillId="9" borderId="9" xfId="1" applyNumberFormat="1" applyFont="1" applyFill="1" applyBorder="1" applyAlignment="1"/>
    <xf numFmtId="0" fontId="42" fillId="54" borderId="129" xfId="1" applyFont="1" applyFill="1" applyBorder="1" applyAlignment="1">
      <alignment horizontal="center" vertical="center"/>
    </xf>
    <xf numFmtId="171" fontId="24" fillId="9" borderId="253" xfId="1" applyNumberFormat="1" applyFont="1" applyFill="1" applyBorder="1"/>
    <xf numFmtId="171" fontId="24" fillId="9" borderId="251" xfId="1" applyNumberFormat="1" applyFont="1" applyFill="1" applyBorder="1" applyAlignment="1"/>
    <xf numFmtId="171" fontId="24" fillId="9" borderId="252" xfId="1" applyNumberFormat="1" applyFont="1" applyFill="1" applyBorder="1" applyAlignment="1"/>
    <xf numFmtId="0" fontId="12" fillId="54" borderId="152" xfId="1" applyFont="1" applyFill="1" applyBorder="1" applyAlignment="1">
      <alignment horizontal="center"/>
    </xf>
    <xf numFmtId="0" fontId="12" fillId="54" borderId="289" xfId="1" applyFont="1" applyFill="1" applyBorder="1" applyAlignment="1">
      <alignment horizontal="center"/>
    </xf>
    <xf numFmtId="0" fontId="12" fillId="54" borderId="127" xfId="1" applyFont="1" applyFill="1" applyBorder="1" applyAlignment="1">
      <alignment horizontal="center"/>
    </xf>
    <xf numFmtId="3" fontId="13" fillId="54" borderId="432" xfId="1" applyNumberFormat="1" applyFont="1" applyFill="1" applyBorder="1"/>
    <xf numFmtId="3" fontId="13" fillId="54" borderId="433" xfId="1" applyNumberFormat="1" applyFont="1" applyFill="1" applyBorder="1"/>
    <xf numFmtId="3" fontId="13" fillId="54" borderId="434" xfId="1" applyNumberFormat="1" applyFont="1" applyFill="1" applyBorder="1"/>
    <xf numFmtId="0" fontId="12" fillId="54" borderId="133" xfId="1" applyFont="1" applyFill="1" applyBorder="1" applyAlignment="1">
      <alignment horizontal="center"/>
    </xf>
    <xf numFmtId="0" fontId="16" fillId="53" borderId="17" xfId="1" applyFont="1" applyFill="1" applyBorder="1" applyAlignment="1">
      <alignment horizontal="center" vertical="center"/>
    </xf>
    <xf numFmtId="0" fontId="44" fillId="54" borderId="124" xfId="1" applyFont="1" applyFill="1" applyBorder="1" applyAlignment="1">
      <alignment horizontal="center" vertical="center" wrapText="1"/>
    </xf>
    <xf numFmtId="0" fontId="44" fillId="54" borderId="374" xfId="1" applyFont="1" applyFill="1" applyBorder="1" applyAlignment="1">
      <alignment horizontal="center" vertical="center" wrapText="1"/>
    </xf>
    <xf numFmtId="0" fontId="44" fillId="54" borderId="125" xfId="1" applyFont="1" applyFill="1" applyBorder="1" applyAlignment="1">
      <alignment horizontal="center" vertical="center" wrapText="1"/>
    </xf>
    <xf numFmtId="0" fontId="44" fillId="54" borderId="126" xfId="1" applyFont="1" applyFill="1" applyBorder="1" applyAlignment="1">
      <alignment horizontal="center" vertical="center" wrapText="1"/>
    </xf>
    <xf numFmtId="183" fontId="25" fillId="9" borderId="77" xfId="6" applyNumberFormat="1" applyFont="1" applyFill="1" applyBorder="1" applyAlignment="1">
      <alignment wrapText="1"/>
    </xf>
    <xf numFmtId="183" fontId="24" fillId="9" borderId="77" xfId="6" applyNumberFormat="1" applyFont="1" applyFill="1" applyBorder="1" applyAlignment="1">
      <alignment wrapText="1"/>
    </xf>
    <xf numFmtId="183" fontId="25" fillId="9" borderId="74" xfId="6" applyNumberFormat="1" applyFont="1" applyFill="1" applyBorder="1" applyAlignment="1">
      <alignment wrapText="1"/>
    </xf>
    <xf numFmtId="183" fontId="24" fillId="9" borderId="74" xfId="6" applyNumberFormat="1" applyFont="1" applyFill="1" applyBorder="1" applyAlignment="1">
      <alignment wrapText="1"/>
    </xf>
    <xf numFmtId="183" fontId="25" fillId="9" borderId="266" xfId="6" applyNumberFormat="1" applyFont="1" applyFill="1" applyBorder="1" applyAlignment="1">
      <alignment wrapText="1"/>
    </xf>
    <xf numFmtId="183" fontId="24" fillId="9" borderId="70" xfId="6" applyNumberFormat="1" applyFont="1" applyFill="1" applyBorder="1" applyAlignment="1">
      <alignment wrapText="1"/>
    </xf>
    <xf numFmtId="0" fontId="42" fillId="54" borderId="124" xfId="1" applyFont="1" applyFill="1" applyBorder="1" applyAlignment="1">
      <alignment horizontal="center" vertical="center" wrapText="1"/>
    </xf>
    <xf numFmtId="0" fontId="42" fillId="54" borderId="125" xfId="1" applyFont="1" applyFill="1" applyBorder="1" applyAlignment="1">
      <alignment horizontal="center" vertical="center" wrapText="1"/>
    </xf>
    <xf numFmtId="0" fontId="42" fillId="54" borderId="126" xfId="1" applyFont="1" applyFill="1" applyBorder="1" applyAlignment="1">
      <alignment horizontal="center" vertical="center" wrapText="1"/>
    </xf>
    <xf numFmtId="0" fontId="42" fillId="54" borderId="129" xfId="1" applyFont="1" applyFill="1" applyBorder="1" applyAlignment="1">
      <alignment horizontal="center" vertical="center" wrapText="1"/>
    </xf>
    <xf numFmtId="10" fontId="42" fillId="54" borderId="149" xfId="1" applyNumberFormat="1" applyFont="1" applyFill="1" applyBorder="1"/>
    <xf numFmtId="10" fontId="42" fillId="54" borderId="380" xfId="1" applyNumberFormat="1" applyFont="1" applyFill="1" applyBorder="1"/>
    <xf numFmtId="10" fontId="42" fillId="54" borderId="150" xfId="1" applyNumberFormat="1" applyFont="1" applyFill="1" applyBorder="1"/>
    <xf numFmtId="0" fontId="42" fillId="53" borderId="148" xfId="1" applyFont="1" applyFill="1" applyBorder="1" applyAlignment="1">
      <alignment horizontal="center"/>
    </xf>
    <xf numFmtId="183" fontId="25" fillId="18" borderId="77" xfId="6" applyNumberFormat="1" applyFont="1" applyFill="1" applyBorder="1" applyAlignment="1">
      <alignment wrapText="1"/>
    </xf>
    <xf numFmtId="183" fontId="25" fillId="18" borderId="74" xfId="6" applyNumberFormat="1" applyFont="1" applyFill="1" applyBorder="1" applyAlignment="1">
      <alignment wrapText="1"/>
    </xf>
    <xf numFmtId="183" fontId="25" fillId="18" borderId="70" xfId="6" applyNumberFormat="1" applyFont="1" applyFill="1" applyBorder="1" applyAlignment="1">
      <alignment wrapText="1"/>
    </xf>
    <xf numFmtId="0" fontId="42" fillId="53" borderId="261" xfId="1" applyFont="1" applyFill="1" applyBorder="1" applyAlignment="1">
      <alignment horizontal="center" wrapText="1"/>
    </xf>
    <xf numFmtId="0" fontId="42" fillId="53" borderId="151" xfId="1" applyFont="1" applyFill="1" applyBorder="1" applyAlignment="1">
      <alignment horizontal="center" vertical="center" wrapText="1"/>
    </xf>
    <xf numFmtId="0" fontId="42" fillId="54" borderId="152" xfId="1" applyFont="1" applyFill="1" applyBorder="1" applyAlignment="1">
      <alignment horizontal="center" wrapText="1"/>
    </xf>
    <xf numFmtId="0" fontId="42" fillId="54" borderId="153" xfId="1" applyFont="1" applyFill="1" applyBorder="1" applyAlignment="1">
      <alignment horizontal="center"/>
    </xf>
    <xf numFmtId="0" fontId="42" fillId="54" borderId="154" xfId="1" applyFont="1" applyFill="1" applyBorder="1" applyAlignment="1">
      <alignment horizontal="center"/>
    </xf>
    <xf numFmtId="172" fontId="26" fillId="20" borderId="0" xfId="1" applyNumberFormat="1" applyFont="1" applyFill="1" applyBorder="1" applyAlignment="1">
      <alignment horizontal="center"/>
    </xf>
    <xf numFmtId="0" fontId="39" fillId="53" borderId="358" xfId="0" applyFont="1" applyFill="1" applyBorder="1"/>
    <xf numFmtId="0" fontId="39" fillId="53" borderId="18" xfId="0" applyFont="1" applyFill="1" applyBorder="1"/>
    <xf numFmtId="0" fontId="52" fillId="53" borderId="17" xfId="0" applyFont="1" applyFill="1" applyBorder="1" applyAlignment="1">
      <alignment horizontal="center" vertical="center"/>
    </xf>
    <xf numFmtId="0" fontId="52" fillId="53" borderId="17" xfId="0" applyFont="1" applyFill="1" applyBorder="1" applyAlignment="1">
      <alignment horizontal="center"/>
    </xf>
    <xf numFmtId="183" fontId="25" fillId="18" borderId="202" xfId="6" applyNumberFormat="1" applyFont="1" applyFill="1" applyBorder="1" applyAlignment="1">
      <alignment wrapText="1"/>
    </xf>
    <xf numFmtId="183" fontId="25" fillId="20" borderId="13" xfId="6" applyNumberFormat="1" applyFont="1" applyFill="1" applyBorder="1" applyAlignment="1">
      <alignment horizontal="center" wrapText="1"/>
    </xf>
    <xf numFmtId="183" fontId="25" fillId="18" borderId="194" xfId="6" applyNumberFormat="1" applyFont="1" applyFill="1" applyBorder="1" applyAlignment="1">
      <alignment wrapText="1"/>
    </xf>
    <xf numFmtId="183" fontId="25" fillId="18" borderId="192" xfId="6" applyNumberFormat="1" applyFont="1" applyFill="1" applyBorder="1" applyAlignment="1">
      <alignment wrapText="1"/>
    </xf>
    <xf numFmtId="0" fontId="38" fillId="0" borderId="368" xfId="0" applyFont="1" applyBorder="1" applyAlignment="1">
      <alignment horizontal="left"/>
    </xf>
    <xf numFmtId="0" fontId="38" fillId="0" borderId="389" xfId="0" applyFont="1" applyBorder="1" applyAlignment="1">
      <alignment horizontal="left"/>
    </xf>
    <xf numFmtId="0" fontId="16" fillId="53" borderId="123" xfId="1" applyFont="1" applyFill="1" applyBorder="1" applyAlignment="1">
      <alignment horizontal="center" vertical="center"/>
    </xf>
    <xf numFmtId="0" fontId="12" fillId="54" borderId="27" xfId="1" applyFont="1" applyFill="1" applyBorder="1" applyAlignment="1">
      <alignment horizontal="center" wrapText="1"/>
    </xf>
    <xf numFmtId="0" fontId="12" fillId="54" borderId="52" xfId="1" applyFont="1" applyFill="1" applyBorder="1" applyAlignment="1">
      <alignment horizontal="center"/>
    </xf>
    <xf numFmtId="0" fontId="12" fillId="54" borderId="140" xfId="1" applyFont="1" applyFill="1" applyBorder="1" applyAlignment="1">
      <alignment horizontal="center"/>
    </xf>
    <xf numFmtId="177" fontId="38" fillId="0" borderId="368" xfId="0" applyNumberFormat="1" applyFont="1" applyBorder="1"/>
    <xf numFmtId="177" fontId="38" fillId="0" borderId="163" xfId="0" applyNumberFormat="1" applyFont="1" applyBorder="1"/>
    <xf numFmtId="177" fontId="38" fillId="0" borderId="389" xfId="0" applyNumberFormat="1" applyFont="1" applyBorder="1"/>
    <xf numFmtId="0" fontId="12" fillId="54" borderId="127" xfId="1" applyFont="1" applyFill="1" applyBorder="1" applyAlignment="1"/>
    <xf numFmtId="0" fontId="12" fillId="54" borderId="129" xfId="1" applyFont="1" applyFill="1" applyBorder="1" applyAlignment="1"/>
    <xf numFmtId="0" fontId="17" fillId="54" borderId="129" xfId="1" applyFont="1" applyFill="1" applyBorder="1" applyAlignment="1">
      <alignment horizontal="right"/>
    </xf>
    <xf numFmtId="0" fontId="12" fillId="54" borderId="131" xfId="1" applyFont="1" applyFill="1" applyBorder="1" applyAlignment="1"/>
    <xf numFmtId="171" fontId="24" fillId="3" borderId="78" xfId="1" applyNumberFormat="1" applyFont="1" applyFill="1" applyBorder="1" applyAlignment="1"/>
    <xf numFmtId="171" fontId="24" fillId="3" borderId="77" xfId="1" applyNumberFormat="1" applyFont="1" applyFill="1" applyBorder="1" applyAlignment="1"/>
    <xf numFmtId="171" fontId="24" fillId="0" borderId="0" xfId="1" applyNumberFormat="1" applyFont="1" applyBorder="1"/>
    <xf numFmtId="0" fontId="12" fillId="53" borderId="133" xfId="1" applyFont="1" applyFill="1" applyBorder="1" applyAlignment="1">
      <alignment horizontal="center"/>
    </xf>
    <xf numFmtId="0" fontId="19" fillId="53" borderId="28" xfId="1" applyFont="1" applyFill="1" applyBorder="1" applyAlignment="1">
      <alignment horizontal="right"/>
    </xf>
    <xf numFmtId="171" fontId="24" fillId="3" borderId="287" xfId="1" applyNumberFormat="1" applyFont="1" applyFill="1" applyBorder="1" applyAlignment="1"/>
    <xf numFmtId="171" fontId="24" fillId="3" borderId="266" xfId="1" applyNumberFormat="1" applyFont="1" applyFill="1" applyBorder="1" applyAlignment="1"/>
    <xf numFmtId="171" fontId="24" fillId="0" borderId="244" xfId="1" applyNumberFormat="1" applyFont="1" applyBorder="1"/>
    <xf numFmtId="171" fontId="25" fillId="11" borderId="233" xfId="1" applyNumberFormat="1" applyFont="1" applyFill="1" applyBorder="1" applyAlignment="1">
      <alignment horizontal="right"/>
    </xf>
    <xf numFmtId="171" fontId="25" fillId="11" borderId="294" xfId="1" applyNumberFormat="1" applyFont="1" applyFill="1" applyBorder="1" applyAlignment="1">
      <alignment horizontal="right"/>
    </xf>
    <xf numFmtId="171" fontId="24" fillId="0" borderId="118" xfId="1" applyNumberFormat="1" applyFont="1" applyBorder="1"/>
    <xf numFmtId="10" fontId="19" fillId="53" borderId="80" xfId="1" applyNumberFormat="1" applyFont="1" applyFill="1" applyBorder="1"/>
    <xf numFmtId="10" fontId="16" fillId="53" borderId="42" xfId="1" applyNumberFormat="1" applyFont="1" applyFill="1" applyBorder="1"/>
    <xf numFmtId="0" fontId="20" fillId="53" borderId="28" xfId="1" applyFont="1" applyFill="1" applyBorder="1" applyAlignment="1">
      <alignment horizontal="right"/>
    </xf>
    <xf numFmtId="0" fontId="20" fillId="53" borderId="30" xfId="1" applyFont="1" applyFill="1" applyBorder="1" applyAlignment="1">
      <alignment horizontal="right"/>
    </xf>
    <xf numFmtId="10" fontId="16" fillId="53" borderId="49" xfId="1" applyNumberFormat="1" applyFont="1" applyFill="1" applyBorder="1"/>
    <xf numFmtId="0" fontId="19" fillId="53" borderId="25" xfId="1" applyFont="1" applyFill="1" applyBorder="1" applyAlignment="1">
      <alignment horizontal="right"/>
    </xf>
    <xf numFmtId="171" fontId="24" fillId="3" borderId="291" xfId="1" applyNumberFormat="1" applyFont="1" applyFill="1" applyBorder="1" applyAlignment="1"/>
    <xf numFmtId="171" fontId="24" fillId="9" borderId="77" xfId="1" applyNumberFormat="1" applyFont="1" applyFill="1" applyBorder="1" applyAlignment="1"/>
    <xf numFmtId="171" fontId="24" fillId="9" borderId="291" xfId="1" applyNumberFormat="1" applyFont="1" applyFill="1" applyBorder="1" applyAlignment="1"/>
    <xf numFmtId="171" fontId="24" fillId="3" borderId="293" xfId="1" applyNumberFormat="1" applyFont="1" applyFill="1" applyBorder="1" applyAlignment="1"/>
    <xf numFmtId="171" fontId="25" fillId="11" borderId="15" xfId="1" applyNumberFormat="1" applyFont="1" applyFill="1" applyBorder="1" applyAlignment="1">
      <alignment horizontal="right"/>
    </xf>
    <xf numFmtId="10" fontId="19" fillId="53" borderId="39" xfId="1" applyNumberFormat="1" applyFont="1" applyFill="1" applyBorder="1"/>
    <xf numFmtId="164" fontId="25" fillId="9" borderId="231" xfId="1" applyNumberFormat="1" applyFont="1" applyFill="1" applyBorder="1" applyAlignment="1">
      <alignment horizontal="right"/>
    </xf>
    <xf numFmtId="171" fontId="25" fillId="9" borderId="228" xfId="1" applyNumberFormat="1" applyFont="1" applyFill="1" applyBorder="1" applyAlignment="1">
      <alignment horizontal="right"/>
    </xf>
    <xf numFmtId="9" fontId="13" fillId="0" borderId="50" xfId="1" applyNumberFormat="1" applyFont="1" applyBorder="1" applyAlignment="1"/>
    <xf numFmtId="171" fontId="25" fillId="43" borderId="228" xfId="1" applyNumberFormat="1" applyFont="1" applyFill="1" applyBorder="1"/>
    <xf numFmtId="0" fontId="38" fillId="0" borderId="15" xfId="0" applyFont="1" applyBorder="1" applyAlignment="1">
      <alignment horizontal="center" vertical="center"/>
    </xf>
    <xf numFmtId="0" fontId="38" fillId="0" borderId="16" xfId="0" applyFont="1" applyBorder="1" applyAlignment="1">
      <alignment horizontal="center" vertical="center"/>
    </xf>
    <xf numFmtId="0" fontId="38" fillId="0" borderId="18" xfId="0" applyFont="1" applyBorder="1" applyAlignment="1">
      <alignment horizontal="center" vertical="center"/>
    </xf>
    <xf numFmtId="171" fontId="25" fillId="20" borderId="340" xfId="1" applyNumberFormat="1" applyFont="1" applyFill="1" applyBorder="1"/>
    <xf numFmtId="0" fontId="31" fillId="54" borderId="238" xfId="0" applyFont="1" applyFill="1" applyBorder="1" applyAlignment="1">
      <alignment horizontal="center" vertical="center"/>
    </xf>
    <xf numFmtId="0" fontId="31" fillId="54" borderId="272" xfId="0" applyFont="1" applyFill="1" applyBorder="1" applyAlignment="1">
      <alignment horizontal="center" vertical="center"/>
    </xf>
    <xf numFmtId="0" fontId="31" fillId="54" borderId="238" xfId="0" applyFont="1" applyFill="1" applyBorder="1" applyAlignment="1">
      <alignment horizontal="center"/>
    </xf>
    <xf numFmtId="0" fontId="27" fillId="54" borderId="238" xfId="0" applyFont="1" applyFill="1" applyBorder="1"/>
    <xf numFmtId="0" fontId="31" fillId="54" borderId="241" xfId="0" applyFont="1" applyFill="1" applyBorder="1"/>
    <xf numFmtId="0" fontId="38" fillId="0" borderId="425" xfId="0" applyFont="1" applyBorder="1" applyAlignment="1">
      <alignment horizontal="center" vertical="center"/>
    </xf>
    <xf numFmtId="0" fontId="38" fillId="0" borderId="160" xfId="0" applyFont="1" applyBorder="1" applyAlignment="1">
      <alignment horizontal="center" vertical="center"/>
    </xf>
    <xf numFmtId="0" fontId="31" fillId="53" borderId="237" xfId="0" applyFont="1" applyFill="1" applyBorder="1" applyAlignment="1">
      <alignment horizontal="center" vertical="center" wrapText="1"/>
    </xf>
    <xf numFmtId="0" fontId="31" fillId="53" borderId="144" xfId="0" applyFont="1" applyFill="1" applyBorder="1" applyAlignment="1">
      <alignment horizontal="center" vertical="center" wrapText="1"/>
    </xf>
    <xf numFmtId="0" fontId="31" fillId="53" borderId="144" xfId="0" applyFont="1" applyFill="1" applyBorder="1" applyAlignment="1">
      <alignment horizontal="center" vertical="center"/>
    </xf>
    <xf numFmtId="0" fontId="31" fillId="53" borderId="385" xfId="0" applyFont="1" applyFill="1" applyBorder="1" applyAlignment="1">
      <alignment horizontal="center" vertical="center" wrapText="1"/>
    </xf>
    <xf numFmtId="172" fontId="30" fillId="0" borderId="13" xfId="1" applyNumberFormat="1" applyFont="1" applyBorder="1" applyAlignment="1"/>
    <xf numFmtId="172" fontId="24" fillId="0" borderId="239" xfId="1" applyNumberFormat="1" applyFont="1" applyBorder="1"/>
    <xf numFmtId="172" fontId="24" fillId="0" borderId="177" xfId="1" applyNumberFormat="1" applyFont="1" applyBorder="1"/>
    <xf numFmtId="0" fontId="31" fillId="53" borderId="248" xfId="0" applyFont="1" applyFill="1" applyBorder="1" applyAlignment="1">
      <alignment horizontal="center" vertical="center" wrapText="1"/>
    </xf>
    <xf numFmtId="0" fontId="31" fillId="53" borderId="259" xfId="0" applyFont="1" applyFill="1" applyBorder="1" applyAlignment="1">
      <alignment horizontal="center" vertical="center" wrapText="1"/>
    </xf>
    <xf numFmtId="0" fontId="31" fillId="53" borderId="249" xfId="0" applyFont="1" applyFill="1" applyBorder="1" applyAlignment="1">
      <alignment horizontal="center" vertical="center" wrapText="1"/>
    </xf>
    <xf numFmtId="170" fontId="31" fillId="53" borderId="14" xfId="0" applyNumberFormat="1" applyFont="1" applyFill="1" applyBorder="1" applyAlignment="1">
      <alignment horizontal="center" vertical="center"/>
    </xf>
    <xf numFmtId="0" fontId="31" fillId="53" borderId="246" xfId="0" applyFont="1" applyFill="1" applyBorder="1" applyAlignment="1">
      <alignment horizontal="center" vertical="center"/>
    </xf>
    <xf numFmtId="170" fontId="31" fillId="53" borderId="393" xfId="0" applyNumberFormat="1" applyFont="1" applyFill="1" applyBorder="1" applyAlignment="1">
      <alignment horizontal="center" vertical="center"/>
    </xf>
    <xf numFmtId="165" fontId="31" fillId="53" borderId="393" xfId="0" applyNumberFormat="1" applyFont="1" applyFill="1" applyBorder="1" applyAlignment="1">
      <alignment horizontal="center" vertical="center"/>
    </xf>
    <xf numFmtId="165" fontId="31" fillId="53" borderId="246" xfId="0" applyNumberFormat="1" applyFont="1" applyFill="1" applyBorder="1" applyAlignment="1">
      <alignment horizontal="center" vertical="center"/>
    </xf>
    <xf numFmtId="170" fontId="31" fillId="53" borderId="246" xfId="0" applyNumberFormat="1" applyFont="1" applyFill="1" applyBorder="1" applyAlignment="1">
      <alignment horizontal="center" vertical="center"/>
    </xf>
    <xf numFmtId="165" fontId="31" fillId="53" borderId="15" xfId="0" applyNumberFormat="1" applyFont="1" applyFill="1" applyBorder="1" applyAlignment="1">
      <alignment horizontal="center" vertical="center"/>
    </xf>
    <xf numFmtId="0" fontId="27" fillId="54" borderId="245" xfId="0" applyFont="1" applyFill="1" applyBorder="1" applyAlignment="1">
      <alignment horizontal="center" vertical="center" wrapText="1"/>
    </xf>
    <xf numFmtId="9" fontId="27" fillId="54" borderId="245" xfId="0" applyNumberFormat="1" applyFont="1" applyFill="1" applyBorder="1"/>
    <xf numFmtId="165" fontId="27" fillId="54" borderId="245" xfId="0" applyNumberFormat="1" applyFont="1" applyFill="1" applyBorder="1"/>
    <xf numFmtId="170" fontId="27" fillId="54" borderId="245" xfId="0" applyNumberFormat="1" applyFont="1" applyFill="1" applyBorder="1"/>
    <xf numFmtId="172" fontId="24" fillId="0" borderId="0" xfId="1" applyNumberFormat="1" applyFont="1" applyFill="1" applyBorder="1"/>
    <xf numFmtId="172" fontId="24" fillId="0" borderId="14" xfId="1" applyNumberFormat="1" applyFont="1" applyFill="1" applyBorder="1"/>
    <xf numFmtId="170" fontId="31" fillId="54" borderId="245" xfId="0" applyNumberFormat="1" applyFont="1" applyFill="1" applyBorder="1"/>
    <xf numFmtId="172" fontId="13" fillId="0" borderId="43" xfId="1" applyNumberFormat="1" applyFont="1" applyBorder="1"/>
    <xf numFmtId="172" fontId="13" fillId="0" borderId="42" xfId="1" applyNumberFormat="1" applyFont="1" applyBorder="1"/>
    <xf numFmtId="172" fontId="13" fillId="0" borderId="438" xfId="1" applyNumberFormat="1" applyFont="1" applyBorder="1"/>
    <xf numFmtId="172" fontId="13" fillId="0" borderId="448" xfId="1" applyNumberFormat="1" applyFont="1" applyBorder="1"/>
    <xf numFmtId="172" fontId="13" fillId="0" borderId="449" xfId="1" applyNumberFormat="1" applyFont="1" applyBorder="1"/>
    <xf numFmtId="172" fontId="13" fillId="0" borderId="450" xfId="1" applyNumberFormat="1" applyFont="1" applyBorder="1"/>
    <xf numFmtId="0" fontId="27" fillId="54" borderId="242" xfId="0" applyFont="1" applyFill="1" applyBorder="1" applyAlignment="1">
      <alignment horizontal="center" vertical="center" wrapText="1"/>
    </xf>
    <xf numFmtId="9" fontId="27" fillId="54" borderId="242" xfId="0" applyNumberFormat="1" applyFont="1" applyFill="1" applyBorder="1"/>
    <xf numFmtId="165" fontId="27" fillId="54" borderId="242" xfId="0" applyNumberFormat="1" applyFont="1" applyFill="1" applyBorder="1"/>
    <xf numFmtId="0" fontId="27" fillId="54" borderId="242" xfId="0" applyFont="1" applyFill="1" applyBorder="1"/>
    <xf numFmtId="170" fontId="31" fillId="54" borderId="242" xfId="0" applyNumberFormat="1" applyFont="1" applyFill="1" applyBorder="1"/>
    <xf numFmtId="0" fontId="31" fillId="54" borderId="118" xfId="0" applyFont="1" applyFill="1" applyBorder="1" applyAlignment="1">
      <alignment horizontal="center" vertical="center" wrapText="1"/>
    </xf>
    <xf numFmtId="0" fontId="31" fillId="54" borderId="244" xfId="0" applyFont="1" applyFill="1" applyBorder="1" applyAlignment="1">
      <alignment horizontal="center" vertical="center" wrapText="1"/>
    </xf>
    <xf numFmtId="0" fontId="31" fillId="54" borderId="396" xfId="0" applyFont="1" applyFill="1" applyBorder="1" applyAlignment="1">
      <alignment horizontal="center"/>
    </xf>
    <xf numFmtId="0" fontId="31" fillId="54" borderId="246" xfId="0" applyFont="1" applyFill="1" applyBorder="1" applyAlignment="1">
      <alignment horizontal="center"/>
    </xf>
    <xf numFmtId="0" fontId="31" fillId="54" borderId="389" xfId="0" applyFont="1" applyFill="1" applyBorder="1" applyAlignment="1">
      <alignment horizontal="center"/>
    </xf>
    <xf numFmtId="0" fontId="31" fillId="54" borderId="237" xfId="0" applyFont="1" applyFill="1" applyBorder="1"/>
    <xf numFmtId="0" fontId="27" fillId="0" borderId="160" xfId="0" applyFont="1" applyBorder="1"/>
    <xf numFmtId="187" fontId="27" fillId="0" borderId="13" xfId="0" applyNumberFormat="1" applyFont="1" applyBorder="1" applyAlignment="1">
      <alignment horizontal="center"/>
    </xf>
    <xf numFmtId="187" fontId="27" fillId="0" borderId="162" xfId="0" applyNumberFormat="1" applyFont="1" applyBorder="1" applyAlignment="1">
      <alignment horizontal="center"/>
    </xf>
    <xf numFmtId="187" fontId="31" fillId="54" borderId="245" xfId="0" applyNumberFormat="1" applyFont="1" applyFill="1" applyBorder="1" applyAlignment="1">
      <alignment horizontal="center"/>
    </xf>
    <xf numFmtId="187" fontId="31" fillId="54" borderId="242" xfId="0" applyNumberFormat="1" applyFont="1" applyFill="1" applyBorder="1" applyAlignment="1">
      <alignment horizontal="center"/>
    </xf>
    <xf numFmtId="0" fontId="31" fillId="54" borderId="15" xfId="0" applyFont="1" applyFill="1" applyBorder="1" applyAlignment="1">
      <alignment horizontal="center"/>
    </xf>
    <xf numFmtId="0" fontId="38" fillId="0" borderId="162" xfId="0" applyFont="1" applyBorder="1" applyAlignment="1">
      <alignment horizontal="center" vertical="center"/>
    </xf>
    <xf numFmtId="0" fontId="38" fillId="0" borderId="242" xfId="0" applyFont="1" applyBorder="1" applyAlignment="1">
      <alignment horizontal="center" vertical="center"/>
    </xf>
    <xf numFmtId="165" fontId="31" fillId="54" borderId="386" xfId="0" applyNumberFormat="1" applyFont="1" applyFill="1" applyBorder="1" applyAlignment="1">
      <alignment vertical="center"/>
    </xf>
    <xf numFmtId="0" fontId="31" fillId="54" borderId="387" xfId="0" applyFont="1" applyFill="1" applyBorder="1" applyAlignment="1">
      <alignment vertical="center"/>
    </xf>
    <xf numFmtId="0" fontId="31" fillId="54" borderId="388" xfId="0" applyFont="1" applyFill="1" applyBorder="1" applyAlignment="1">
      <alignment vertical="center"/>
    </xf>
    <xf numFmtId="0" fontId="31" fillId="54" borderId="272" xfId="0" applyFont="1" applyFill="1" applyBorder="1" applyAlignment="1">
      <alignment horizontal="center" vertical="center" wrapText="1"/>
    </xf>
    <xf numFmtId="0" fontId="38" fillId="0" borderId="162" xfId="0" applyFont="1" applyBorder="1" applyAlignment="1">
      <alignment horizontal="center" vertical="center" wrapText="1"/>
    </xf>
    <xf numFmtId="0" fontId="38" fillId="0" borderId="242" xfId="0" applyFont="1" applyBorder="1" applyAlignment="1">
      <alignment horizontal="center" vertical="center" wrapText="1"/>
    </xf>
    <xf numFmtId="0" fontId="31" fillId="53" borderId="241" xfId="0" applyFont="1" applyFill="1" applyBorder="1" applyAlignment="1">
      <alignment horizontal="center" vertical="center" wrapText="1"/>
    </xf>
    <xf numFmtId="0" fontId="25" fillId="17" borderId="297" xfId="1" applyFont="1" applyFill="1" applyBorder="1" applyAlignment="1">
      <alignment horizontal="center" vertical="center"/>
    </xf>
    <xf numFmtId="0" fontId="25" fillId="17" borderId="241" xfId="1" applyFont="1" applyFill="1" applyBorder="1" applyAlignment="1">
      <alignment horizontal="center" vertical="center"/>
    </xf>
    <xf numFmtId="10" fontId="25" fillId="21" borderId="118" xfId="1" applyNumberFormat="1" applyFont="1" applyFill="1" applyBorder="1" applyAlignment="1">
      <alignment horizontal="center"/>
    </xf>
    <xf numFmtId="10" fontId="25" fillId="21" borderId="15" xfId="1" applyNumberFormat="1" applyFont="1" applyFill="1" applyBorder="1" applyAlignment="1">
      <alignment horizontal="center"/>
    </xf>
    <xf numFmtId="10" fontId="25" fillId="21" borderId="242" xfId="1" applyNumberFormat="1" applyFont="1" applyFill="1" applyBorder="1" applyAlignment="1">
      <alignment horizontal="center"/>
    </xf>
    <xf numFmtId="0" fontId="25" fillId="17" borderId="248" xfId="1" applyFont="1" applyFill="1" applyBorder="1" applyAlignment="1">
      <alignment horizontal="center"/>
    </xf>
    <xf numFmtId="0" fontId="25" fillId="17" borderId="249" xfId="1" applyFont="1" applyFill="1" applyBorder="1" applyAlignment="1">
      <alignment horizontal="center"/>
    </xf>
    <xf numFmtId="0" fontId="25" fillId="16" borderId="247" xfId="1" applyFont="1" applyFill="1" applyBorder="1" applyAlignment="1">
      <alignment horizontal="center" vertical="center"/>
    </xf>
    <xf numFmtId="0" fontId="25" fillId="16" borderId="237" xfId="1" applyFont="1" applyFill="1" applyBorder="1" applyAlignment="1">
      <alignment horizontal="center" vertical="center"/>
    </xf>
    <xf numFmtId="10" fontId="25" fillId="17" borderId="248" xfId="1" applyNumberFormat="1" applyFont="1" applyFill="1" applyBorder="1" applyAlignment="1">
      <alignment horizontal="center"/>
    </xf>
    <xf numFmtId="10" fontId="25" fillId="17" borderId="144" xfId="1" applyNumberFormat="1" applyFont="1" applyFill="1" applyBorder="1" applyAlignment="1">
      <alignment horizontal="center"/>
    </xf>
    <xf numFmtId="0" fontId="25" fillId="17" borderId="144" xfId="1" applyFont="1" applyFill="1" applyBorder="1" applyAlignment="1">
      <alignment horizontal="center"/>
    </xf>
    <xf numFmtId="0" fontId="25" fillId="15" borderId="259" xfId="1" applyFont="1" applyFill="1" applyBorder="1" applyAlignment="1">
      <alignment horizontal="center" wrapText="1"/>
    </xf>
    <xf numFmtId="0" fontId="25" fillId="15" borderId="249" xfId="1" applyFont="1" applyFill="1" applyBorder="1" applyAlignment="1">
      <alignment horizontal="center" wrapText="1"/>
    </xf>
    <xf numFmtId="0" fontId="26" fillId="17" borderId="248" xfId="1" applyFont="1" applyFill="1" applyBorder="1" applyAlignment="1">
      <alignment horizontal="center"/>
    </xf>
    <xf numFmtId="0" fontId="26" fillId="17" borderId="144" xfId="1" applyFont="1" applyFill="1" applyBorder="1" applyAlignment="1">
      <alignment horizontal="center"/>
    </xf>
    <xf numFmtId="0" fontId="26" fillId="17" borderId="249" xfId="1" applyFont="1" applyFill="1" applyBorder="1" applyAlignment="1">
      <alignment horizontal="center"/>
    </xf>
    <xf numFmtId="0" fontId="31" fillId="17" borderId="248" xfId="0" applyFont="1" applyFill="1" applyBorder="1" applyAlignment="1">
      <alignment horizontal="center"/>
    </xf>
    <xf numFmtId="0" fontId="31" fillId="17" borderId="249" xfId="0" applyFont="1" applyFill="1" applyBorder="1" applyAlignment="1">
      <alignment horizontal="center"/>
    </xf>
    <xf numFmtId="0" fontId="26" fillId="16" borderId="247" xfId="0" applyFont="1" applyFill="1" applyBorder="1" applyAlignment="1">
      <alignment horizontal="center" vertical="center"/>
    </xf>
    <xf numFmtId="0" fontId="26" fillId="16" borderId="237" xfId="0" applyFont="1" applyFill="1" applyBorder="1" applyAlignment="1">
      <alignment horizontal="center" vertical="center"/>
    </xf>
    <xf numFmtId="0" fontId="26" fillId="16" borderId="247" xfId="1" applyFont="1" applyFill="1" applyBorder="1" applyAlignment="1">
      <alignment horizontal="center" vertical="center"/>
    </xf>
    <xf numFmtId="0" fontId="26" fillId="16" borderId="237" xfId="1" applyFont="1" applyFill="1" applyBorder="1" applyAlignment="1">
      <alignment horizontal="center" vertical="center"/>
    </xf>
    <xf numFmtId="0" fontId="31" fillId="17" borderId="144" xfId="0" applyFont="1" applyFill="1" applyBorder="1" applyAlignment="1">
      <alignment horizontal="center"/>
    </xf>
    <xf numFmtId="9" fontId="11" fillId="0" borderId="0" xfId="1" applyNumberFormat="1" applyFont="1" applyAlignment="1"/>
    <xf numFmtId="0" fontId="13" fillId="0" borderId="1" xfId="1" applyFont="1" applyBorder="1" applyAlignment="1"/>
    <xf numFmtId="0" fontId="13" fillId="0" borderId="164" xfId="1" applyFont="1" applyBorder="1" applyAlignment="1"/>
    <xf numFmtId="0" fontId="13" fillId="0" borderId="165" xfId="1" applyFont="1" applyBorder="1" applyAlignment="1"/>
    <xf numFmtId="0" fontId="13" fillId="0" borderId="166" xfId="1" applyFont="1" applyBorder="1" applyAlignment="1"/>
    <xf numFmtId="0" fontId="13" fillId="0" borderId="163" xfId="1" applyFont="1" applyBorder="1" applyAlignment="1"/>
    <xf numFmtId="0" fontId="13" fillId="0" borderId="0" xfId="1" applyFont="1" applyBorder="1" applyAlignment="1"/>
    <xf numFmtId="0" fontId="13" fillId="0" borderId="13" xfId="1" applyFont="1" applyBorder="1" applyAlignment="1"/>
    <xf numFmtId="0" fontId="11" fillId="0" borderId="0" xfId="1" applyFont="1" applyFill="1" applyAlignment="1"/>
    <xf numFmtId="0" fontId="13" fillId="0" borderId="161" xfId="1" applyFont="1" applyBorder="1" applyAlignment="1"/>
    <xf numFmtId="0" fontId="13" fillId="0" borderId="142" xfId="1" applyFont="1" applyBorder="1" applyAlignment="1"/>
    <xf numFmtId="0" fontId="13" fillId="0" borderId="162" xfId="1" applyFont="1" applyBorder="1" applyAlignment="1"/>
    <xf numFmtId="0" fontId="57" fillId="0" borderId="7" xfId="1" applyFont="1" applyFill="1" applyBorder="1" applyAlignment="1"/>
    <xf numFmtId="0" fontId="57" fillId="0" borderId="7" xfId="1" applyFont="1" applyFill="1" applyBorder="1" applyAlignment="1">
      <alignment horizontal="center"/>
    </xf>
    <xf numFmtId="3" fontId="58" fillId="0" borderId="7" xfId="1" applyNumberFormat="1" applyFont="1" applyFill="1" applyBorder="1" applyAlignment="1"/>
    <xf numFmtId="193" fontId="57" fillId="0" borderId="7" xfId="1" applyNumberFormat="1" applyFont="1" applyFill="1" applyBorder="1" applyAlignment="1"/>
    <xf numFmtId="9" fontId="38" fillId="0" borderId="236" xfId="0" applyNumberFormat="1" applyFont="1" applyBorder="1"/>
    <xf numFmtId="0" fontId="9" fillId="0" borderId="9" xfId="0" applyFont="1" applyBorder="1"/>
    <xf numFmtId="0" fontId="9" fillId="0" borderId="11" xfId="0" applyFont="1" applyBorder="1" applyAlignment="1">
      <alignment horizontal="center"/>
    </xf>
    <xf numFmtId="0" fontId="9" fillId="0" borderId="12" xfId="0" applyFont="1" applyBorder="1" applyAlignment="1">
      <alignment horizontal="center"/>
    </xf>
    <xf numFmtId="9" fontId="38" fillId="0" borderId="487" xfId="0" applyNumberFormat="1" applyFont="1" applyBorder="1"/>
    <xf numFmtId="9" fontId="38" fillId="0" borderId="488" xfId="0" applyNumberFormat="1" applyFont="1" applyBorder="1"/>
    <xf numFmtId="9" fontId="38" fillId="0" borderId="489" xfId="0" applyNumberFormat="1" applyFont="1" applyBorder="1"/>
    <xf numFmtId="9" fontId="38" fillId="0" borderId="490" xfId="0" applyNumberFormat="1" applyFont="1" applyBorder="1"/>
    <xf numFmtId="0" fontId="39" fillId="8" borderId="491" xfId="0" applyFont="1" applyFill="1" applyBorder="1" applyAlignment="1">
      <alignment horizontal="center" vertical="center" wrapText="1"/>
    </xf>
    <xf numFmtId="0" fontId="39" fillId="8" borderId="492" xfId="0" applyFont="1" applyFill="1" applyBorder="1" applyAlignment="1">
      <alignment horizontal="center" vertical="center" wrapText="1"/>
    </xf>
    <xf numFmtId="0" fontId="39" fillId="8" borderId="493" xfId="0" applyNumberFormat="1" applyFont="1" applyFill="1" applyBorder="1" applyAlignment="1">
      <alignment horizontal="center" vertical="center" wrapText="1"/>
    </xf>
    <xf numFmtId="10" fontId="39" fillId="8" borderId="494" xfId="0" applyNumberFormat="1" applyFont="1" applyFill="1" applyBorder="1" applyAlignment="1">
      <alignment horizontal="center" vertical="center" wrapText="1"/>
    </xf>
    <xf numFmtId="0" fontId="38" fillId="0" borderId="173" xfId="0" applyFont="1" applyFill="1" applyBorder="1" applyAlignment="1">
      <alignment wrapText="1"/>
    </xf>
    <xf numFmtId="0" fontId="38" fillId="0" borderId="176" xfId="0" applyFont="1" applyFill="1" applyBorder="1"/>
    <xf numFmtId="0" fontId="38" fillId="0" borderId="176" xfId="0" applyFont="1" applyFill="1" applyBorder="1" applyAlignment="1">
      <alignment wrapText="1"/>
    </xf>
    <xf numFmtId="0" fontId="38" fillId="0" borderId="499" xfId="0" applyFont="1" applyFill="1" applyBorder="1"/>
    <xf numFmtId="0" fontId="39" fillId="0" borderId="179" xfId="0" applyFont="1" applyBorder="1"/>
    <xf numFmtId="0" fontId="38" fillId="0" borderId="183" xfId="0" applyFont="1" applyBorder="1"/>
    <xf numFmtId="0" fontId="9" fillId="0" borderId="179" xfId="0" applyFont="1" applyBorder="1"/>
    <xf numFmtId="0" fontId="38" fillId="0" borderId="395" xfId="0" applyFont="1" applyFill="1" applyBorder="1"/>
    <xf numFmtId="0" fontId="38" fillId="0" borderId="480" xfId="0" applyNumberFormat="1" applyFont="1" applyFill="1" applyBorder="1"/>
    <xf numFmtId="9" fontId="38" fillId="0" borderId="481" xfId="0" applyNumberFormat="1" applyFont="1" applyFill="1" applyBorder="1"/>
    <xf numFmtId="0" fontId="38" fillId="0" borderId="501" xfId="0" applyFont="1" applyBorder="1"/>
    <xf numFmtId="0" fontId="38" fillId="0" borderId="459" xfId="0" applyNumberFormat="1" applyFont="1" applyBorder="1"/>
    <xf numFmtId="0" fontId="38" fillId="0" borderId="459" xfId="0" applyFont="1" applyBorder="1"/>
    <xf numFmtId="170" fontId="38" fillId="0" borderId="502" xfId="0" applyNumberFormat="1" applyFont="1" applyBorder="1"/>
    <xf numFmtId="0" fontId="38" fillId="0" borderId="395" xfId="0" applyFont="1" applyBorder="1"/>
    <xf numFmtId="9" fontId="38" fillId="0" borderId="246" xfId="0" applyNumberFormat="1" applyFont="1" applyBorder="1"/>
    <xf numFmtId="0" fontId="9" fillId="0" borderId="117" xfId="0" applyFont="1" applyBorder="1"/>
    <xf numFmtId="170" fontId="38" fillId="0" borderId="459" xfId="0" applyNumberFormat="1" applyFont="1" applyBorder="1"/>
    <xf numFmtId="0" fontId="38" fillId="0" borderId="245" xfId="0" applyFont="1" applyBorder="1"/>
    <xf numFmtId="0" fontId="38" fillId="0" borderId="245" xfId="0" applyNumberFormat="1" applyFont="1" applyBorder="1"/>
    <xf numFmtId="0" fontId="16" fillId="0" borderId="117" xfId="0" applyFont="1" applyBorder="1"/>
    <xf numFmtId="0" fontId="38" fillId="0" borderId="495" xfId="0" applyFont="1" applyFill="1" applyBorder="1" applyAlignment="1">
      <alignment horizontal="right"/>
    </xf>
    <xf numFmtId="0" fontId="38" fillId="0" borderId="496" xfId="0" applyNumberFormat="1" applyFont="1" applyFill="1" applyBorder="1" applyAlignment="1">
      <alignment horizontal="right"/>
    </xf>
    <xf numFmtId="9" fontId="38" fillId="0" borderId="497" xfId="0" applyNumberFormat="1" applyFont="1" applyFill="1" applyBorder="1" applyAlignment="1">
      <alignment horizontal="right"/>
    </xf>
    <xf numFmtId="0" fontId="38" fillId="0" borderId="163" xfId="0" applyFont="1" applyFill="1" applyBorder="1" applyAlignment="1">
      <alignment horizontal="right"/>
    </xf>
    <xf numFmtId="0" fontId="38" fillId="0" borderId="155" xfId="0" applyNumberFormat="1" applyFont="1" applyFill="1" applyBorder="1" applyAlignment="1">
      <alignment horizontal="right"/>
    </xf>
    <xf numFmtId="9" fontId="38" fillId="0" borderId="498" xfId="0" applyNumberFormat="1" applyFont="1" applyFill="1" applyBorder="1" applyAlignment="1">
      <alignment horizontal="right"/>
    </xf>
    <xf numFmtId="0" fontId="38" fillId="0" borderId="159" xfId="0" applyNumberFormat="1" applyFont="1" applyFill="1" applyBorder="1" applyAlignment="1">
      <alignment horizontal="right"/>
    </xf>
    <xf numFmtId="0" fontId="38" fillId="0" borderId="239" xfId="0" applyFont="1" applyFill="1" applyBorder="1" applyAlignment="1">
      <alignment horizontal="right"/>
    </xf>
    <xf numFmtId="0" fontId="38" fillId="0" borderId="395" xfId="0" applyFont="1" applyFill="1" applyBorder="1" applyAlignment="1">
      <alignment horizontal="right"/>
    </xf>
    <xf numFmtId="0" fontId="38" fillId="0" borderId="480" xfId="0" applyNumberFormat="1" applyFont="1" applyFill="1" applyBorder="1" applyAlignment="1">
      <alignment horizontal="right"/>
    </xf>
    <xf numFmtId="9" fontId="38" fillId="0" borderId="500" xfId="0" applyNumberFormat="1" applyFont="1" applyFill="1" applyBorder="1" applyAlignment="1">
      <alignment horizontal="right"/>
    </xf>
    <xf numFmtId="0" fontId="38" fillId="0" borderId="368" xfId="0" applyFont="1" applyBorder="1" applyAlignment="1">
      <alignment horizontal="right"/>
    </xf>
    <xf numFmtId="0" fontId="38" fillId="0" borderId="157" xfId="0" applyNumberFormat="1" applyFont="1" applyBorder="1" applyAlignment="1">
      <alignment horizontal="right"/>
    </xf>
    <xf numFmtId="9" fontId="38" fillId="0" borderId="115" xfId="0" applyNumberFormat="1" applyFont="1" applyBorder="1" applyAlignment="1">
      <alignment horizontal="right"/>
    </xf>
    <xf numFmtId="0" fontId="38" fillId="0" borderId="163" xfId="0" applyFont="1" applyBorder="1" applyAlignment="1">
      <alignment horizontal="right"/>
    </xf>
    <xf numFmtId="0" fontId="38" fillId="0" borderId="0" xfId="0" applyNumberFormat="1" applyFont="1" applyBorder="1" applyAlignment="1">
      <alignment horizontal="right"/>
    </xf>
    <xf numFmtId="0" fontId="38" fillId="0" borderId="395" xfId="0" applyFont="1" applyBorder="1" applyAlignment="1">
      <alignment horizontal="right"/>
    </xf>
    <xf numFmtId="0" fontId="38" fillId="0" borderId="244" xfId="0" applyNumberFormat="1" applyFont="1" applyBorder="1" applyAlignment="1">
      <alignment horizontal="right"/>
    </xf>
    <xf numFmtId="9" fontId="38" fillId="0" borderId="246" xfId="0" applyNumberFormat="1" applyFont="1" applyBorder="1" applyAlignment="1">
      <alignment horizontal="right"/>
    </xf>
    <xf numFmtId="0" fontId="38" fillId="0" borderId="183" xfId="0" applyFont="1" applyBorder="1" applyAlignment="1">
      <alignment horizontal="right"/>
    </xf>
    <xf numFmtId="9" fontId="38" fillId="0" borderId="180" xfId="12" applyFont="1" applyBorder="1" applyAlignment="1">
      <alignment horizontal="right"/>
    </xf>
    <xf numFmtId="0" fontId="8" fillId="20" borderId="504" xfId="0" applyFont="1" applyFill="1" applyBorder="1" applyAlignment="1">
      <alignment horizontal="center"/>
    </xf>
    <xf numFmtId="0" fontId="8" fillId="20" borderId="505" xfId="0" applyFont="1" applyFill="1" applyBorder="1" applyAlignment="1">
      <alignment horizontal="center"/>
    </xf>
    <xf numFmtId="181" fontId="8" fillId="0" borderId="505" xfId="0" applyNumberFormat="1" applyFont="1" applyFill="1" applyBorder="1"/>
    <xf numFmtId="181" fontId="8" fillId="0" borderId="506" xfId="0" applyNumberFormat="1" applyFont="1" applyFill="1" applyBorder="1"/>
    <xf numFmtId="173" fontId="8" fillId="20" borderId="489" xfId="0" applyNumberFormat="1" applyFont="1" applyFill="1" applyBorder="1" applyAlignment="1">
      <alignment horizontal="center"/>
    </xf>
    <xf numFmtId="173" fontId="8" fillId="20" borderId="507" xfId="0" applyNumberFormat="1" applyFont="1" applyFill="1" applyBorder="1" applyAlignment="1">
      <alignment horizontal="center"/>
    </xf>
    <xf numFmtId="181" fontId="8" fillId="8" borderId="507" xfId="0" applyNumberFormat="1" applyFont="1" applyFill="1" applyBorder="1"/>
    <xf numFmtId="181" fontId="8" fillId="8" borderId="490" xfId="0" applyNumberFormat="1" applyFont="1" applyFill="1" applyBorder="1"/>
    <xf numFmtId="10" fontId="8" fillId="0" borderId="508" xfId="0" applyNumberFormat="1" applyFont="1" applyBorder="1"/>
    <xf numFmtId="10" fontId="8" fillId="0" borderId="509" xfId="0" applyNumberFormat="1" applyFont="1" applyBorder="1"/>
    <xf numFmtId="10" fontId="8" fillId="0" borderId="509" xfId="0" applyNumberFormat="1" applyFont="1" applyBorder="1" applyAlignment="1"/>
    <xf numFmtId="10" fontId="8" fillId="0" borderId="510" xfId="0" applyNumberFormat="1" applyFont="1" applyBorder="1"/>
    <xf numFmtId="10" fontId="8" fillId="0" borderId="512" xfId="0" applyNumberFormat="1" applyFont="1" applyBorder="1"/>
    <xf numFmtId="10" fontId="8" fillId="0" borderId="507" xfId="0" applyNumberFormat="1" applyFont="1" applyBorder="1"/>
    <xf numFmtId="10" fontId="8" fillId="0" borderId="507" xfId="0" applyNumberFormat="1" applyFont="1" applyBorder="1" applyAlignment="1"/>
    <xf numFmtId="10" fontId="8" fillId="0" borderId="513" xfId="0" applyNumberFormat="1" applyFont="1" applyBorder="1"/>
    <xf numFmtId="181" fontId="8" fillId="8" borderId="504" xfId="0" applyNumberFormat="1" applyFont="1" applyFill="1" applyBorder="1"/>
    <xf numFmtId="0" fontId="8" fillId="0" borderId="505" xfId="0" applyFont="1" applyBorder="1"/>
    <xf numFmtId="181" fontId="8" fillId="8" borderId="505" xfId="0" applyNumberFormat="1" applyFont="1" applyFill="1" applyBorder="1"/>
    <xf numFmtId="181" fontId="8" fillId="0" borderId="505" xfId="0" applyNumberFormat="1" applyFont="1" applyBorder="1"/>
    <xf numFmtId="181" fontId="8" fillId="0" borderId="514" xfId="0" applyNumberFormat="1" applyFont="1" applyBorder="1"/>
    <xf numFmtId="181" fontId="8" fillId="8" borderId="489" xfId="0" applyNumberFormat="1" applyFont="1" applyFill="1" applyBorder="1"/>
    <xf numFmtId="181" fontId="8" fillId="0" borderId="507" xfId="0" applyNumberFormat="1" applyFont="1" applyBorder="1"/>
    <xf numFmtId="181" fontId="8" fillId="54" borderId="507" xfId="0" applyNumberFormat="1" applyFont="1" applyFill="1" applyBorder="1"/>
    <xf numFmtId="181" fontId="8" fillId="8" borderId="513" xfId="0" applyNumberFormat="1" applyFont="1" applyFill="1" applyBorder="1"/>
    <xf numFmtId="0" fontId="8" fillId="0" borderId="504" xfId="0" applyFont="1" applyBorder="1"/>
    <xf numFmtId="0" fontId="8" fillId="0" borderId="514" xfId="0" applyFont="1" applyBorder="1"/>
    <xf numFmtId="44" fontId="8" fillId="0" borderId="507" xfId="0" applyNumberFormat="1" applyFont="1" applyFill="1" applyBorder="1"/>
    <xf numFmtId="179" fontId="8" fillId="0" borderId="507" xfId="2" applyNumberFormat="1" applyFont="1" applyBorder="1"/>
    <xf numFmtId="181" fontId="8" fillId="0" borderId="516" xfId="0" applyNumberFormat="1" applyFont="1" applyBorder="1"/>
    <xf numFmtId="181" fontId="8" fillId="0" borderId="511" xfId="0" applyNumberFormat="1" applyFont="1" applyBorder="1"/>
    <xf numFmtId="0" fontId="8" fillId="0" borderId="236" xfId="0" applyFont="1" applyBorder="1" applyAlignment="1">
      <alignment horizontal="left"/>
    </xf>
    <xf numFmtId="175" fontId="8" fillId="8" borderId="507" xfId="0" applyNumberFormat="1" applyFont="1" applyFill="1" applyBorder="1"/>
    <xf numFmtId="0" fontId="9" fillId="0" borderId="169" xfId="0" applyFont="1" applyBorder="1" applyAlignment="1">
      <alignment horizontal="left"/>
    </xf>
    <xf numFmtId="181" fontId="8" fillId="0" borderId="517" xfId="0" applyNumberFormat="1" applyFont="1" applyBorder="1"/>
    <xf numFmtId="181" fontId="8" fillId="0" borderId="518" xfId="0" applyNumberFormat="1" applyFont="1" applyBorder="1"/>
    <xf numFmtId="181" fontId="8" fillId="0" borderId="170" xfId="0" applyNumberFormat="1" applyFont="1" applyBorder="1"/>
    <xf numFmtId="44" fontId="8" fillId="54" borderId="520" xfId="2" applyFont="1" applyFill="1" applyBorder="1"/>
    <xf numFmtId="44" fontId="8" fillId="54" borderId="521" xfId="2" applyFont="1" applyFill="1" applyBorder="1"/>
    <xf numFmtId="0" fontId="8" fillId="54" borderId="521" xfId="0" applyFont="1" applyFill="1" applyBorder="1" applyAlignment="1">
      <alignment horizontal="center"/>
    </xf>
    <xf numFmtId="0" fontId="8" fillId="54" borderId="522" xfId="0" applyFont="1" applyFill="1" applyBorder="1" applyAlignment="1">
      <alignment horizontal="center"/>
    </xf>
    <xf numFmtId="44" fontId="8" fillId="0" borderId="520" xfId="2" applyFont="1" applyFill="1" applyBorder="1"/>
    <xf numFmtId="44" fontId="8" fillId="0" borderId="521" xfId="2" applyFont="1" applyFill="1" applyBorder="1"/>
    <xf numFmtId="0" fontId="8" fillId="0" borderId="521" xfId="0" applyFont="1" applyFill="1" applyBorder="1" applyAlignment="1">
      <alignment horizontal="center"/>
    </xf>
    <xf numFmtId="0" fontId="8" fillId="0" borderId="522" xfId="0" applyFont="1" applyFill="1" applyBorder="1" applyAlignment="1">
      <alignment horizontal="center"/>
    </xf>
    <xf numFmtId="178" fontId="8" fillId="54" borderId="489" xfId="0" applyNumberFormat="1" applyFont="1" applyFill="1" applyBorder="1"/>
    <xf numFmtId="178" fontId="8" fillId="54" borderId="507" xfId="0" applyNumberFormat="1" applyFont="1" applyFill="1" applyBorder="1"/>
    <xf numFmtId="178" fontId="8" fillId="54" borderId="513" xfId="0" applyNumberFormat="1" applyFont="1" applyFill="1" applyBorder="1"/>
    <xf numFmtId="181" fontId="8" fillId="0" borderId="504" xfId="0" applyNumberFormat="1" applyFont="1" applyFill="1" applyBorder="1"/>
    <xf numFmtId="181" fontId="8" fillId="0" borderId="514" xfId="0" applyNumberFormat="1" applyFont="1" applyFill="1" applyBorder="1"/>
    <xf numFmtId="181" fontId="8" fillId="0" borderId="503" xfId="0" applyNumberFormat="1" applyFont="1" applyFill="1" applyBorder="1"/>
    <xf numFmtId="181" fontId="8" fillId="0" borderId="503" xfId="0" applyNumberFormat="1" applyFont="1" applyFill="1" applyBorder="1" applyAlignment="1">
      <alignment horizontal="center"/>
    </xf>
    <xf numFmtId="181" fontId="8" fillId="8" borderId="519" xfId="0" applyNumberFormat="1" applyFont="1" applyFill="1" applyBorder="1"/>
    <xf numFmtId="181" fontId="8" fillId="0" borderId="521" xfId="0" applyNumberFormat="1" applyFont="1" applyBorder="1" applyAlignment="1"/>
    <xf numFmtId="181" fontId="8" fillId="0" borderId="524" xfId="0" applyNumberFormat="1" applyFont="1" applyBorder="1"/>
    <xf numFmtId="181" fontId="8" fillId="8" borderId="515" xfId="0" applyNumberFormat="1" applyFont="1" applyFill="1" applyBorder="1"/>
    <xf numFmtId="0" fontId="8" fillId="0" borderId="507" xfId="0" applyFont="1" applyBorder="1"/>
    <xf numFmtId="181" fontId="8" fillId="0" borderId="490" xfId="0" applyNumberFormat="1" applyFont="1" applyBorder="1"/>
    <xf numFmtId="10" fontId="8" fillId="0" borderId="504" xfId="0" applyNumberFormat="1" applyFont="1" applyBorder="1"/>
    <xf numFmtId="9" fontId="8" fillId="0" borderId="505" xfId="0" applyNumberFormat="1" applyFont="1" applyBorder="1"/>
    <xf numFmtId="10" fontId="8" fillId="0" borderId="506" xfId="0" quotePrefix="1" applyNumberFormat="1" applyFont="1" applyBorder="1"/>
    <xf numFmtId="181" fontId="8" fillId="0" borderId="525" xfId="0" applyNumberFormat="1" applyFont="1" applyBorder="1" applyAlignment="1">
      <alignment horizontal="center"/>
    </xf>
    <xf numFmtId="181" fontId="8" fillId="0" borderId="505" xfId="0" applyNumberFormat="1" applyFont="1" applyBorder="1" applyAlignment="1">
      <alignment horizontal="center"/>
    </xf>
    <xf numFmtId="181" fontId="8" fillId="0" borderId="514" xfId="0" applyNumberFormat="1" applyFont="1" applyBorder="1" applyAlignment="1">
      <alignment horizontal="center"/>
    </xf>
    <xf numFmtId="181" fontId="8" fillId="0" borderId="505" xfId="0" applyNumberFormat="1" applyFont="1" applyBorder="1" applyAlignment="1">
      <alignment horizontal="center" vertical="center"/>
    </xf>
    <xf numFmtId="181" fontId="8" fillId="0" borderId="514" xfId="0" applyNumberFormat="1" applyFont="1" applyBorder="1" applyAlignment="1">
      <alignment horizontal="center" vertical="center"/>
    </xf>
    <xf numFmtId="181" fontId="8" fillId="0" borderId="512" xfId="0" applyNumberFormat="1" applyFont="1" applyBorder="1" applyAlignment="1">
      <alignment horizontal="center"/>
    </xf>
    <xf numFmtId="181" fontId="8" fillId="0" borderId="507" xfId="0" applyNumberFormat="1" applyFont="1" applyBorder="1" applyAlignment="1">
      <alignment horizontal="center"/>
    </xf>
    <xf numFmtId="181" fontId="8" fillId="0" borderId="513" xfId="0" applyNumberFormat="1" applyFont="1" applyBorder="1" applyAlignment="1">
      <alignment horizontal="center"/>
    </xf>
    <xf numFmtId="181" fontId="8" fillId="0" borderId="507" xfId="0" applyNumberFormat="1" applyFont="1" applyBorder="1" applyAlignment="1">
      <alignment horizontal="center" vertical="center"/>
    </xf>
    <xf numFmtId="181" fontId="8" fillId="0" borderId="513" xfId="0" applyNumberFormat="1" applyFont="1" applyFill="1" applyBorder="1" applyAlignment="1">
      <alignment horizontal="center" vertical="center"/>
    </xf>
    <xf numFmtId="181" fontId="8" fillId="0" borderId="507" xfId="0" applyNumberFormat="1" applyFont="1" applyFill="1" applyBorder="1" applyAlignment="1">
      <alignment horizontal="center"/>
    </xf>
    <xf numFmtId="181" fontId="8" fillId="0" borderId="513" xfId="0" applyNumberFormat="1" applyFont="1" applyFill="1" applyBorder="1" applyAlignment="1">
      <alignment horizontal="center"/>
    </xf>
    <xf numFmtId="177" fontId="8" fillId="0" borderId="505" xfId="0" applyNumberFormat="1" applyFont="1" applyBorder="1"/>
    <xf numFmtId="9" fontId="8" fillId="0" borderId="505" xfId="0" applyNumberFormat="1" applyFont="1" applyFill="1" applyBorder="1"/>
    <xf numFmtId="177" fontId="8" fillId="0" borderId="521" xfId="0" applyNumberFormat="1" applyFont="1" applyBorder="1"/>
    <xf numFmtId="181" fontId="8" fillId="0" borderId="521" xfId="0" applyNumberFormat="1" applyFont="1" applyBorder="1"/>
    <xf numFmtId="9" fontId="8" fillId="0" borderId="521" xfId="0" applyNumberFormat="1" applyFont="1" applyFill="1" applyBorder="1"/>
    <xf numFmtId="181" fontId="8" fillId="0" borderId="524" xfId="0" applyNumberFormat="1" applyFont="1" applyFill="1" applyBorder="1"/>
    <xf numFmtId="179" fontId="8" fillId="0" borderId="521" xfId="0" applyNumberFormat="1" applyFont="1" applyBorder="1"/>
    <xf numFmtId="10" fontId="8" fillId="0" borderId="525" xfId="0" applyNumberFormat="1" applyFont="1" applyBorder="1" applyAlignment="1">
      <alignment horizontal="center"/>
    </xf>
    <xf numFmtId="10" fontId="8" fillId="0" borderId="505" xfId="0" applyNumberFormat="1" applyFont="1" applyBorder="1" applyAlignment="1">
      <alignment horizontal="center"/>
    </xf>
    <xf numFmtId="10" fontId="8" fillId="0" borderId="505" xfId="0" applyNumberFormat="1" applyFont="1" applyFill="1" applyBorder="1" applyAlignment="1">
      <alignment horizontal="center"/>
    </xf>
    <xf numFmtId="10" fontId="8" fillId="0" borderId="506" xfId="0" applyNumberFormat="1" applyFont="1" applyBorder="1" applyAlignment="1">
      <alignment horizontal="center"/>
    </xf>
    <xf numFmtId="9" fontId="8" fillId="0" borderId="527" xfId="0" applyNumberFormat="1" applyFont="1" applyFill="1" applyBorder="1" applyAlignment="1">
      <alignment horizontal="center"/>
    </xf>
    <xf numFmtId="9" fontId="8" fillId="0" borderId="521" xfId="0" applyNumberFormat="1" applyFont="1" applyBorder="1" applyAlignment="1">
      <alignment horizontal="center"/>
    </xf>
    <xf numFmtId="9" fontId="8" fillId="0" borderId="521" xfId="0" applyNumberFormat="1" applyFont="1" applyFill="1" applyBorder="1" applyAlignment="1">
      <alignment horizontal="center"/>
    </xf>
    <xf numFmtId="9" fontId="8" fillId="0" borderId="524" xfId="0" applyNumberFormat="1" applyFont="1" applyFill="1" applyBorder="1" applyAlignment="1">
      <alignment horizontal="center"/>
    </xf>
    <xf numFmtId="0" fontId="8" fillId="0" borderId="516" xfId="0" applyFont="1" applyBorder="1"/>
    <xf numFmtId="10" fontId="8" fillId="0" borderId="516" xfId="0" applyNumberFormat="1" applyFont="1" applyBorder="1"/>
    <xf numFmtId="181" fontId="8" fillId="0" borderId="520" xfId="0" applyNumberFormat="1" applyFont="1" applyFill="1" applyBorder="1"/>
    <xf numFmtId="181" fontId="8" fillId="0" borderId="520" xfId="0" applyNumberFormat="1" applyFont="1" applyBorder="1"/>
    <xf numFmtId="0" fontId="11" fillId="0" borderId="521" xfId="0" applyFont="1" applyFill="1" applyBorder="1" applyAlignment="1">
      <alignment horizontal="center"/>
    </xf>
    <xf numFmtId="0" fontId="8" fillId="0" borderId="524" xfId="0" applyFont="1" applyFill="1" applyBorder="1" applyAlignment="1">
      <alignment horizontal="center"/>
    </xf>
    <xf numFmtId="1" fontId="11" fillId="0" borderId="521" xfId="0" applyNumberFormat="1" applyFont="1" applyFill="1" applyBorder="1" applyAlignment="1">
      <alignment horizontal="center"/>
    </xf>
    <xf numFmtId="1" fontId="8" fillId="0" borderId="521" xfId="0" applyNumberFormat="1" applyFont="1" applyFill="1" applyBorder="1" applyAlignment="1">
      <alignment horizontal="center"/>
    </xf>
    <xf numFmtId="173" fontId="38" fillId="0" borderId="521" xfId="0" applyNumberFormat="1" applyFont="1" applyFill="1" applyBorder="1" applyAlignment="1">
      <alignment horizontal="center"/>
    </xf>
    <xf numFmtId="173" fontId="38" fillId="0" borderId="521" xfId="0" applyNumberFormat="1" applyFont="1" applyBorder="1" applyAlignment="1">
      <alignment horizontal="center"/>
    </xf>
    <xf numFmtId="173" fontId="38" fillId="0" borderId="524" xfId="0" applyNumberFormat="1" applyFont="1" applyFill="1" applyBorder="1" applyAlignment="1">
      <alignment horizontal="center"/>
    </xf>
    <xf numFmtId="9" fontId="38" fillId="0" borderId="521" xfId="0" applyNumberFormat="1" applyFont="1" applyBorder="1" applyAlignment="1">
      <alignment horizontal="center"/>
    </xf>
    <xf numFmtId="9" fontId="38" fillId="0" borderId="524" xfId="0" applyNumberFormat="1" applyFont="1" applyBorder="1" applyAlignment="1">
      <alignment horizontal="center"/>
    </xf>
    <xf numFmtId="0" fontId="9" fillId="0" borderId="528" xfId="0" applyFont="1" applyBorder="1" applyAlignment="1">
      <alignment horizontal="left" wrapText="1"/>
    </xf>
    <xf numFmtId="181" fontId="8" fillId="0" borderId="517" xfId="0" applyNumberFormat="1" applyFont="1" applyFill="1" applyBorder="1"/>
    <xf numFmtId="181" fontId="8" fillId="0" borderId="170" xfId="0" applyNumberFormat="1" applyFont="1" applyFill="1" applyBorder="1"/>
    <xf numFmtId="172" fontId="38" fillId="0" borderId="13" xfId="0" applyNumberFormat="1" applyFont="1" applyFill="1" applyBorder="1" applyAlignment="1">
      <alignment horizontal="right"/>
    </xf>
    <xf numFmtId="9" fontId="38" fillId="0" borderId="162" xfId="0" applyNumberFormat="1" applyFont="1" applyFill="1" applyBorder="1"/>
    <xf numFmtId="0" fontId="38" fillId="0" borderId="527" xfId="0" applyFont="1" applyBorder="1" applyAlignment="1">
      <alignment horizontal="center"/>
    </xf>
    <xf numFmtId="0" fontId="38" fillId="0" borderId="521" xfId="0" applyFont="1" applyBorder="1" applyAlignment="1">
      <alignment horizontal="center"/>
    </xf>
    <xf numFmtId="0" fontId="38" fillId="0" borderId="524" xfId="0" applyFont="1" applyBorder="1" applyAlignment="1">
      <alignment horizontal="center"/>
    </xf>
    <xf numFmtId="175" fontId="38" fillId="0" borderId="527" xfId="0" applyNumberFormat="1" applyFont="1" applyBorder="1"/>
    <xf numFmtId="175" fontId="38" fillId="0" borderId="521" xfId="0" applyNumberFormat="1" applyFont="1" applyBorder="1"/>
    <xf numFmtId="177" fontId="38" fillId="0" borderId="521" xfId="0" applyNumberFormat="1" applyFont="1" applyBorder="1"/>
    <xf numFmtId="172" fontId="38" fillId="0" borderId="521" xfId="0" applyNumberFormat="1" applyFont="1" applyBorder="1" applyAlignment="1">
      <alignment horizontal="right"/>
    </xf>
    <xf numFmtId="181" fontId="38" fillId="0" borderId="521" xfId="0" applyNumberFormat="1" applyFont="1" applyBorder="1"/>
    <xf numFmtId="9" fontId="38" fillId="0" borderId="524" xfId="0" applyNumberFormat="1" applyFont="1" applyBorder="1"/>
    <xf numFmtId="0" fontId="38" fillId="0" borderId="527" xfId="0" applyFont="1" applyFill="1" applyBorder="1" applyAlignment="1">
      <alignment horizontal="center"/>
    </xf>
    <xf numFmtId="0" fontId="38" fillId="0" borderId="524" xfId="0" applyFont="1" applyFill="1" applyBorder="1" applyAlignment="1">
      <alignment horizontal="center"/>
    </xf>
    <xf numFmtId="172" fontId="38" fillId="0" borderId="527" xfId="0" applyNumberFormat="1" applyFont="1" applyFill="1" applyBorder="1" applyAlignment="1">
      <alignment horizontal="right"/>
    </xf>
    <xf numFmtId="9" fontId="38" fillId="0" borderId="524" xfId="0" applyNumberFormat="1" applyFont="1" applyFill="1" applyBorder="1"/>
    <xf numFmtId="181" fontId="38" fillId="0" borderId="524" xfId="0" applyNumberFormat="1" applyFont="1" applyBorder="1"/>
    <xf numFmtId="10" fontId="38" fillId="0" borderId="521" xfId="0" applyNumberFormat="1" applyFont="1" applyBorder="1"/>
    <xf numFmtId="10" fontId="38" fillId="0" borderId="524" xfId="0" applyNumberFormat="1" applyFont="1" applyBorder="1"/>
    <xf numFmtId="0" fontId="38" fillId="0" borderId="521" xfId="0" applyFont="1" applyBorder="1"/>
    <xf numFmtId="0" fontId="38" fillId="0" borderId="524" xfId="0" applyFont="1" applyBorder="1"/>
    <xf numFmtId="181" fontId="38" fillId="0" borderId="527" xfId="0" applyNumberFormat="1" applyFont="1" applyBorder="1"/>
    <xf numFmtId="0" fontId="38" fillId="0" borderId="527" xfId="0" applyFont="1" applyBorder="1"/>
    <xf numFmtId="10" fontId="38" fillId="0" borderId="527" xfId="0" applyNumberFormat="1" applyFont="1" applyBorder="1"/>
    <xf numFmtId="181" fontId="38" fillId="0" borderId="526" xfId="0" applyNumberFormat="1" applyFont="1" applyBorder="1"/>
    <xf numFmtId="0" fontId="38" fillId="0" borderId="526" xfId="0" applyFont="1" applyBorder="1"/>
    <xf numFmtId="10" fontId="38" fillId="0" borderId="526" xfId="0" applyNumberFormat="1" applyFont="1" applyBorder="1"/>
    <xf numFmtId="0" fontId="38" fillId="0" borderId="398" xfId="0" applyFont="1" applyBorder="1" applyAlignment="1">
      <alignment horizontal="center"/>
    </xf>
    <xf numFmtId="0" fontId="38" fillId="0" borderId="403" xfId="0" applyFont="1" applyBorder="1" applyAlignment="1">
      <alignment horizontal="center"/>
    </xf>
    <xf numFmtId="0" fontId="38" fillId="0" borderId="236" xfId="0" applyFont="1" applyBorder="1" applyAlignment="1">
      <alignment horizontal="center"/>
    </xf>
    <xf numFmtId="0" fontId="38" fillId="0" borderId="239" xfId="0" applyFont="1" applyBorder="1" applyAlignment="1">
      <alignment horizontal="center"/>
    </xf>
    <xf numFmtId="181" fontId="38" fillId="0" borderId="522" xfId="0" applyNumberFormat="1" applyFont="1" applyBorder="1"/>
    <xf numFmtId="0" fontId="38" fillId="0" borderId="522" xfId="0" applyFont="1" applyBorder="1"/>
    <xf numFmtId="0" fontId="39" fillId="0" borderId="247" xfId="0" applyFont="1" applyBorder="1"/>
    <xf numFmtId="181" fontId="38" fillId="0" borderId="503" xfId="0" applyNumberFormat="1" applyFont="1" applyBorder="1" applyAlignment="1">
      <alignment horizontal="center"/>
    </xf>
    <xf numFmtId="181" fontId="38" fillId="0" borderId="505" xfId="0" applyNumberFormat="1" applyFont="1" applyBorder="1"/>
    <xf numFmtId="181" fontId="38" fillId="0" borderId="506" xfId="0" applyNumberFormat="1" applyFont="1" applyBorder="1"/>
    <xf numFmtId="173" fontId="38" fillId="0" borderId="523" xfId="0" applyNumberFormat="1" applyFont="1" applyBorder="1" applyAlignment="1">
      <alignment horizontal="center"/>
    </xf>
    <xf numFmtId="173" fontId="38" fillId="0" borderId="523" xfId="0" applyNumberFormat="1" applyFont="1" applyFill="1" applyBorder="1" applyAlignment="1">
      <alignment horizontal="center"/>
    </xf>
    <xf numFmtId="181" fontId="38" fillId="0" borderId="525" xfId="0" applyNumberFormat="1" applyFont="1" applyFill="1" applyBorder="1"/>
    <xf numFmtId="177" fontId="38" fillId="0" borderId="514" xfId="0" applyNumberFormat="1" applyFont="1" applyFill="1" applyBorder="1" applyAlignment="1"/>
    <xf numFmtId="0" fontId="38" fillId="0" borderId="520" xfId="0" applyFont="1" applyBorder="1" applyAlignment="1">
      <alignment horizontal="center"/>
    </xf>
    <xf numFmtId="175" fontId="38" fillId="0" borderId="520" xfId="0" applyNumberFormat="1" applyFont="1" applyBorder="1" applyAlignment="1">
      <alignment horizontal="center"/>
    </xf>
    <xf numFmtId="175" fontId="38" fillId="0" borderId="521" xfId="0" applyNumberFormat="1" applyFont="1" applyBorder="1" applyAlignment="1">
      <alignment horizontal="center"/>
    </xf>
    <xf numFmtId="175" fontId="38" fillId="0" borderId="524" xfId="0" applyNumberFormat="1" applyFont="1" applyBorder="1" applyAlignment="1">
      <alignment horizontal="center"/>
    </xf>
    <xf numFmtId="175" fontId="38" fillId="0" borderId="524" xfId="0" applyNumberFormat="1" applyFont="1" applyBorder="1"/>
    <xf numFmtId="175" fontId="38" fillId="0" borderId="520" xfId="0" applyNumberFormat="1" applyFont="1" applyBorder="1"/>
    <xf numFmtId="177" fontId="38" fillId="0" borderId="520" xfId="0" applyNumberFormat="1" applyFont="1" applyBorder="1" applyAlignment="1">
      <alignment horizontal="center"/>
    </xf>
    <xf numFmtId="181" fontId="38" fillId="0" borderId="521" xfId="0" applyNumberFormat="1" applyFont="1" applyBorder="1" applyAlignment="1">
      <alignment horizontal="center"/>
    </xf>
    <xf numFmtId="177" fontId="38" fillId="0" borderId="520" xfId="0" applyNumberFormat="1" applyFont="1" applyBorder="1"/>
    <xf numFmtId="181" fontId="38" fillId="0" borderId="520" xfId="0" applyNumberFormat="1" applyFont="1" applyBorder="1" applyAlignment="1">
      <alignment horizontal="center"/>
    </xf>
    <xf numFmtId="181" fontId="38" fillId="0" borderId="520" xfId="0" applyNumberFormat="1" applyFont="1" applyBorder="1"/>
    <xf numFmtId="2" fontId="38" fillId="0" borderId="520" xfId="0" applyNumberFormat="1" applyFont="1" applyBorder="1" applyAlignment="1">
      <alignment horizontal="center"/>
    </xf>
    <xf numFmtId="2" fontId="38" fillId="0" borderId="521" xfId="0" applyNumberFormat="1" applyFont="1" applyBorder="1" applyAlignment="1">
      <alignment horizontal="center"/>
    </xf>
    <xf numFmtId="2" fontId="38" fillId="0" borderId="524" xfId="0" applyNumberFormat="1" applyFont="1" applyBorder="1" applyAlignment="1">
      <alignment horizontal="center"/>
    </xf>
    <xf numFmtId="1" fontId="38" fillId="0" borderId="521" xfId="0" applyNumberFormat="1" applyFont="1" applyBorder="1" applyAlignment="1">
      <alignment horizontal="center"/>
    </xf>
    <xf numFmtId="10" fontId="38" fillId="0" borderId="520" xfId="0" applyNumberFormat="1" applyFont="1" applyBorder="1" applyAlignment="1">
      <alignment horizontal="center"/>
    </xf>
    <xf numFmtId="10" fontId="38" fillId="0" borderId="521" xfId="0" applyNumberFormat="1" applyFont="1" applyBorder="1" applyAlignment="1">
      <alignment horizontal="center"/>
    </xf>
    <xf numFmtId="10" fontId="38" fillId="0" borderId="524" xfId="0" applyNumberFormat="1" applyFont="1" applyBorder="1" applyAlignment="1">
      <alignment horizontal="center"/>
    </xf>
    <xf numFmtId="172" fontId="8" fillId="0" borderId="0" xfId="0" applyNumberFormat="1" applyFont="1"/>
    <xf numFmtId="172" fontId="12" fillId="6" borderId="529" xfId="1" applyNumberFormat="1" applyFont="1" applyFill="1" applyBorder="1" applyAlignment="1">
      <alignment horizontal="right"/>
    </xf>
    <xf numFmtId="175" fontId="8" fillId="0" borderId="0" xfId="0" applyNumberFormat="1" applyFont="1"/>
    <xf numFmtId="10" fontId="8" fillId="0" borderId="0" xfId="12" applyNumberFormat="1" applyFont="1"/>
    <xf numFmtId="0" fontId="0" fillId="0" borderId="0" xfId="0" quotePrefix="1"/>
    <xf numFmtId="0" fontId="8" fillId="56" borderId="169" xfId="0" applyFont="1" applyFill="1" applyBorder="1"/>
    <xf numFmtId="0" fontId="8" fillId="56" borderId="172" xfId="0" applyFont="1" applyFill="1" applyBorder="1"/>
    <xf numFmtId="0" fontId="8" fillId="56" borderId="170" xfId="0" applyFont="1" applyFill="1" applyBorder="1"/>
    <xf numFmtId="0" fontId="8" fillId="0" borderId="173" xfId="0" applyFont="1" applyBorder="1"/>
    <xf numFmtId="0" fontId="8" fillId="0" borderId="176" xfId="0" applyFont="1" applyBorder="1"/>
    <xf numFmtId="0" fontId="8" fillId="0" borderId="179" xfId="0" applyFont="1" applyBorder="1"/>
    <xf numFmtId="0" fontId="8" fillId="0" borderId="178" xfId="0" applyFont="1" applyBorder="1"/>
    <xf numFmtId="0" fontId="8" fillId="0" borderId="181" xfId="0" applyFont="1" applyBorder="1"/>
    <xf numFmtId="0" fontId="63" fillId="0" borderId="0" xfId="0" applyFont="1"/>
    <xf numFmtId="10" fontId="8" fillId="0" borderId="0" xfId="12" applyNumberFormat="1" applyFont="1" applyBorder="1"/>
    <xf numFmtId="3" fontId="8" fillId="0" borderId="0" xfId="0" applyNumberFormat="1" applyFont="1" applyBorder="1"/>
    <xf numFmtId="10" fontId="8" fillId="0" borderId="0" xfId="0" applyNumberFormat="1" applyFont="1" applyBorder="1"/>
    <xf numFmtId="4" fontId="8" fillId="0" borderId="0" xfId="0" applyNumberFormat="1" applyFont="1" applyBorder="1"/>
    <xf numFmtId="10" fontId="8" fillId="0" borderId="183" xfId="12" applyNumberFormat="1" applyFont="1" applyBorder="1"/>
    <xf numFmtId="0" fontId="8" fillId="0" borderId="183" xfId="0" applyFont="1" applyBorder="1"/>
    <xf numFmtId="10" fontId="8" fillId="0" borderId="183" xfId="0" applyNumberFormat="1" applyFont="1" applyBorder="1"/>
    <xf numFmtId="0" fontId="8" fillId="56" borderId="171" xfId="0" applyFont="1" applyFill="1" applyBorder="1"/>
    <xf numFmtId="0" fontId="8" fillId="56" borderId="171" xfId="0" applyFont="1" applyFill="1" applyBorder="1" applyAlignment="1">
      <alignment horizontal="center" wrapText="1"/>
    </xf>
    <xf numFmtId="0" fontId="8" fillId="56" borderId="175" xfId="0" applyFont="1" applyFill="1" applyBorder="1"/>
    <xf numFmtId="0" fontId="8" fillId="56" borderId="178" xfId="0" applyFont="1" applyFill="1" applyBorder="1"/>
    <xf numFmtId="0" fontId="8" fillId="0" borderId="175" xfId="0" applyFont="1" applyBorder="1"/>
    <xf numFmtId="0" fontId="8" fillId="57" borderId="178" xfId="0" applyFont="1" applyFill="1" applyBorder="1"/>
    <xf numFmtId="0" fontId="8" fillId="58" borderId="178" xfId="0" applyFont="1" applyFill="1" applyBorder="1"/>
    <xf numFmtId="0" fontId="8" fillId="58" borderId="181" xfId="0" applyFont="1" applyFill="1" applyBorder="1"/>
    <xf numFmtId="9" fontId="8" fillId="57" borderId="178" xfId="0" applyNumberFormat="1" applyFont="1" applyFill="1" applyBorder="1"/>
    <xf numFmtId="9" fontId="8" fillId="58" borderId="178" xfId="0" applyNumberFormat="1" applyFont="1" applyFill="1" applyBorder="1"/>
    <xf numFmtId="9" fontId="8" fillId="57" borderId="178" xfId="12" applyFont="1" applyFill="1" applyBorder="1"/>
    <xf numFmtId="9" fontId="8" fillId="58" borderId="178" xfId="12" applyFont="1" applyFill="1" applyBorder="1"/>
    <xf numFmtId="9" fontId="8" fillId="58" borderId="181" xfId="0" applyNumberFormat="1" applyFont="1" applyFill="1" applyBorder="1"/>
    <xf numFmtId="0" fontId="8" fillId="56" borderId="172" xfId="0" applyFont="1" applyFill="1" applyBorder="1" applyAlignment="1">
      <alignment horizontal="center" wrapText="1"/>
    </xf>
    <xf numFmtId="10" fontId="8" fillId="57" borderId="178" xfId="12" applyNumberFormat="1" applyFont="1" applyFill="1" applyBorder="1"/>
    <xf numFmtId="10" fontId="8" fillId="56" borderId="178" xfId="12" applyNumberFormat="1" applyFont="1" applyFill="1" applyBorder="1"/>
    <xf numFmtId="0" fontId="8" fillId="56" borderId="181" xfId="0" applyFont="1" applyFill="1" applyBorder="1"/>
    <xf numFmtId="10" fontId="8" fillId="58" borderId="178" xfId="0" applyNumberFormat="1" applyFont="1" applyFill="1" applyBorder="1"/>
    <xf numFmtId="10" fontId="8" fillId="56" borderId="178" xfId="0" applyNumberFormat="1" applyFont="1" applyFill="1" applyBorder="1"/>
    <xf numFmtId="10" fontId="8" fillId="58" borderId="178" xfId="12" applyNumberFormat="1" applyFont="1" applyFill="1" applyBorder="1"/>
    <xf numFmtId="10" fontId="8" fillId="58" borderId="181" xfId="0" applyNumberFormat="1" applyFont="1" applyFill="1" applyBorder="1"/>
    <xf numFmtId="0" fontId="5" fillId="59" borderId="0" xfId="0" applyFont="1" applyFill="1" applyBorder="1" applyAlignment="1"/>
    <xf numFmtId="171" fontId="64" fillId="59" borderId="0" xfId="0" applyNumberFormat="1" applyFont="1" applyFill="1" applyBorder="1" applyAlignment="1"/>
    <xf numFmtId="0" fontId="64" fillId="59" borderId="0" xfId="0" applyFont="1" applyFill="1" applyBorder="1" applyAlignment="1"/>
    <xf numFmtId="9" fontId="64" fillId="59" borderId="0" xfId="0" applyNumberFormat="1" applyFont="1" applyFill="1" applyBorder="1" applyAlignment="1"/>
    <xf numFmtId="0" fontId="8" fillId="56" borderId="173" xfId="0" applyFont="1" applyFill="1" applyBorder="1"/>
    <xf numFmtId="0" fontId="0" fillId="56" borderId="182" xfId="0" applyFill="1" applyBorder="1"/>
    <xf numFmtId="0" fontId="62" fillId="0" borderId="0" xfId="0" applyFont="1"/>
    <xf numFmtId="0" fontId="38" fillId="0" borderId="0" xfId="0" applyFont="1" applyAlignment="1">
      <alignment horizontal="center"/>
    </xf>
    <xf numFmtId="172" fontId="12" fillId="60" borderId="27" xfId="1" applyNumberFormat="1" applyFont="1" applyFill="1" applyBorder="1" applyAlignment="1">
      <alignment horizontal="right"/>
    </xf>
    <xf numFmtId="0" fontId="38" fillId="2" borderId="0" xfId="0" applyFont="1" applyFill="1"/>
    <xf numFmtId="0" fontId="60" fillId="2" borderId="164" xfId="0" quotePrefix="1" applyFont="1" applyFill="1" applyBorder="1"/>
    <xf numFmtId="0" fontId="60" fillId="2" borderId="9" xfId="0" applyFont="1" applyFill="1" applyBorder="1" applyAlignment="1">
      <alignment horizontal="left" vertical="center"/>
    </xf>
    <xf numFmtId="0" fontId="60" fillId="2" borderId="162" xfId="0" applyFont="1" applyFill="1" applyBorder="1" applyAlignment="1">
      <alignment horizontal="center" vertical="center"/>
    </xf>
    <xf numFmtId="0" fontId="60" fillId="2" borderId="236" xfId="0" applyFont="1" applyFill="1" applyBorder="1" applyAlignment="1">
      <alignment horizontal="center" vertical="center"/>
    </xf>
    <xf numFmtId="0" fontId="60" fillId="2" borderId="12" xfId="0" applyFont="1" applyFill="1" applyBorder="1" applyAlignment="1">
      <alignment horizontal="center" vertical="center"/>
    </xf>
    <xf numFmtId="0" fontId="60" fillId="2" borderId="9" xfId="0" applyFont="1" applyFill="1" applyBorder="1" applyAlignment="1">
      <alignment horizontal="center" vertical="center"/>
    </xf>
    <xf numFmtId="0" fontId="8" fillId="2" borderId="0" xfId="0" applyFont="1" applyFill="1"/>
    <xf numFmtId="175" fontId="8" fillId="2" borderId="489" xfId="0" applyNumberFormat="1" applyFont="1" applyFill="1" applyBorder="1"/>
    <xf numFmtId="175" fontId="8" fillId="2" borderId="513" xfId="0" applyNumberFormat="1" applyFont="1" applyFill="1" applyBorder="1"/>
    <xf numFmtId="9" fontId="8" fillId="2" borderId="0" xfId="0" applyNumberFormat="1" applyFont="1" applyFill="1"/>
    <xf numFmtId="181" fontId="8" fillId="2" borderId="513" xfId="0" applyNumberFormat="1" applyFont="1" applyFill="1" applyBorder="1" applyAlignment="1">
      <alignment horizontal="center"/>
    </xf>
    <xf numFmtId="181" fontId="8" fillId="2" borderId="507" xfId="0" applyNumberFormat="1" applyFont="1" applyFill="1" applyBorder="1" applyAlignment="1">
      <alignment horizontal="center"/>
    </xf>
    <xf numFmtId="10" fontId="42" fillId="61" borderId="54" xfId="1" applyNumberFormat="1" applyFont="1" applyFill="1" applyBorder="1"/>
    <xf numFmtId="10" fontId="42" fillId="61" borderId="441" xfId="1" applyNumberFormat="1" applyFont="1" applyFill="1" applyBorder="1"/>
    <xf numFmtId="10" fontId="42" fillId="62" borderId="54" xfId="1" applyNumberFormat="1" applyFont="1" applyFill="1" applyBorder="1"/>
    <xf numFmtId="10" fontId="42" fillId="62" borderId="441" xfId="1" applyNumberFormat="1" applyFont="1" applyFill="1" applyBorder="1"/>
    <xf numFmtId="0" fontId="38" fillId="2" borderId="114" xfId="0" applyFont="1" applyFill="1" applyBorder="1"/>
    <xf numFmtId="0" fontId="38" fillId="2" borderId="368" xfId="0" applyFont="1" applyFill="1" applyBorder="1" applyAlignment="1">
      <alignment horizontal="left"/>
    </xf>
    <xf numFmtId="177" fontId="38" fillId="2" borderId="368" xfId="0" applyNumberFormat="1" applyFont="1" applyFill="1" applyBorder="1"/>
    <xf numFmtId="177" fontId="38" fillId="2" borderId="157" xfId="0" applyNumberFormat="1" applyFont="1" applyFill="1" applyBorder="1"/>
    <xf numFmtId="177" fontId="38" fillId="2" borderId="115" xfId="0" applyNumberFormat="1" applyFont="1" applyFill="1" applyBorder="1"/>
    <xf numFmtId="0" fontId="38" fillId="2" borderId="116" xfId="0" applyFont="1" applyFill="1" applyBorder="1"/>
    <xf numFmtId="0" fontId="38" fillId="2" borderId="163" xfId="0" applyFont="1" applyFill="1" applyBorder="1" applyAlignment="1">
      <alignment horizontal="left"/>
    </xf>
    <xf numFmtId="177" fontId="38" fillId="2" borderId="163" xfId="0" applyNumberFormat="1" applyFont="1" applyFill="1" applyBorder="1"/>
    <xf numFmtId="177" fontId="38" fillId="2" borderId="0" xfId="0" applyNumberFormat="1" applyFont="1" applyFill="1" applyBorder="1"/>
    <xf numFmtId="177" fontId="38" fillId="2" borderId="14" xfId="0" applyNumberFormat="1" applyFont="1" applyFill="1" applyBorder="1"/>
    <xf numFmtId="0" fontId="38" fillId="2" borderId="117" xfId="0" applyFont="1" applyFill="1" applyBorder="1"/>
    <xf numFmtId="0" fontId="38" fillId="2" borderId="389" xfId="0" applyFont="1" applyFill="1" applyBorder="1" applyAlignment="1">
      <alignment horizontal="left"/>
    </xf>
    <xf numFmtId="177" fontId="38" fillId="2" borderId="389" xfId="0" applyNumberFormat="1" applyFont="1" applyFill="1" applyBorder="1"/>
    <xf numFmtId="177" fontId="38" fillId="2" borderId="118" xfId="0" applyNumberFormat="1" applyFont="1" applyFill="1" applyBorder="1"/>
    <xf numFmtId="177" fontId="38" fillId="2" borderId="15" xfId="0" applyNumberFormat="1" applyFont="1" applyFill="1" applyBorder="1"/>
    <xf numFmtId="0" fontId="0" fillId="0" borderId="173" xfId="0" applyFont="1" applyBorder="1" applyAlignment="1"/>
    <xf numFmtId="0" fontId="0" fillId="0" borderId="174" xfId="0" applyFont="1" applyBorder="1" applyAlignment="1"/>
    <xf numFmtId="0" fontId="0" fillId="0" borderId="176" xfId="0" applyFont="1" applyBorder="1" applyAlignment="1"/>
    <xf numFmtId="0" fontId="0" fillId="0" borderId="177" xfId="0" applyFont="1" applyBorder="1" applyAlignment="1"/>
    <xf numFmtId="0" fontId="0" fillId="0" borderId="179" xfId="0" applyFont="1" applyBorder="1" applyAlignment="1"/>
    <xf numFmtId="0" fontId="0" fillId="0" borderId="180" xfId="0" applyFont="1" applyBorder="1" applyAlignment="1"/>
    <xf numFmtId="181" fontId="0" fillId="0" borderId="177" xfId="0" applyNumberFormat="1" applyBorder="1"/>
    <xf numFmtId="173" fontId="0" fillId="0" borderId="180" xfId="0" applyNumberFormat="1" applyBorder="1"/>
    <xf numFmtId="0" fontId="0" fillId="0" borderId="178" xfId="0" applyFont="1" applyBorder="1" applyAlignment="1"/>
    <xf numFmtId="0" fontId="0" fillId="0" borderId="181" xfId="0" applyFont="1" applyBorder="1" applyAlignment="1"/>
    <xf numFmtId="0" fontId="62" fillId="56" borderId="172" xfId="0" applyFont="1" applyFill="1" applyBorder="1"/>
    <xf numFmtId="0" fontId="0" fillId="56" borderId="170" xfId="0" applyFill="1" applyBorder="1"/>
    <xf numFmtId="0" fontId="65" fillId="0" borderId="178" xfId="0" applyFont="1" applyBorder="1"/>
    <xf numFmtId="0" fontId="65" fillId="0" borderId="181" xfId="0" applyFont="1" applyBorder="1"/>
    <xf numFmtId="10" fontId="0" fillId="0" borderId="180" xfId="0" applyNumberFormat="1" applyBorder="1"/>
    <xf numFmtId="0" fontId="66" fillId="56" borderId="172" xfId="0" applyFont="1" applyFill="1" applyBorder="1"/>
    <xf numFmtId="181" fontId="8" fillId="63" borderId="507" xfId="0" applyNumberFormat="1" applyFont="1" applyFill="1" applyBorder="1" applyAlignment="1">
      <alignment horizontal="center"/>
    </xf>
    <xf numFmtId="0" fontId="38" fillId="63" borderId="116" xfId="0" applyFont="1" applyFill="1" applyBorder="1"/>
    <xf numFmtId="0" fontId="38" fillId="63" borderId="163" xfId="0" applyFont="1" applyFill="1" applyBorder="1" applyAlignment="1">
      <alignment horizontal="left"/>
    </xf>
    <xf numFmtId="177" fontId="38" fillId="63" borderId="163" xfId="0" applyNumberFormat="1" applyFont="1" applyFill="1" applyBorder="1"/>
    <xf numFmtId="177" fontId="38" fillId="63" borderId="0" xfId="0" applyNumberFormat="1" applyFont="1" applyFill="1" applyBorder="1"/>
    <xf numFmtId="177" fontId="38" fillId="63" borderId="14" xfId="0" applyNumberFormat="1" applyFont="1" applyFill="1" applyBorder="1"/>
    <xf numFmtId="10" fontId="12" fillId="2" borderId="134" xfId="1" applyNumberFormat="1" applyFont="1" applyFill="1" applyBorder="1" applyAlignment="1">
      <alignment wrapText="1"/>
    </xf>
    <xf numFmtId="10" fontId="12" fillId="2" borderId="135" xfId="1" applyNumberFormat="1" applyFont="1" applyFill="1" applyBorder="1"/>
    <xf numFmtId="0" fontId="42" fillId="53" borderId="530" xfId="1" applyFont="1" applyFill="1" applyBorder="1" applyAlignment="1">
      <alignment horizontal="center" wrapText="1"/>
    </xf>
    <xf numFmtId="0" fontId="42" fillId="54" borderId="27" xfId="1" applyFont="1" applyFill="1" applyBorder="1" applyAlignment="1">
      <alignment horizontal="center" vertical="center" wrapText="1"/>
    </xf>
    <xf numFmtId="0" fontId="42" fillId="54" borderId="52" xfId="1" applyFont="1" applyFill="1" applyBorder="1" applyAlignment="1">
      <alignment horizontal="center" vertical="center" wrapText="1"/>
    </xf>
    <xf numFmtId="0" fontId="42" fillId="54" borderId="140" xfId="1" applyFont="1" applyFill="1" applyBorder="1" applyAlignment="1">
      <alignment horizontal="center" vertical="center" wrapText="1"/>
    </xf>
    <xf numFmtId="0" fontId="42" fillId="53" borderId="237" xfId="1" applyFont="1" applyFill="1" applyBorder="1" applyAlignment="1">
      <alignment horizontal="center" vertical="center" wrapText="1"/>
    </xf>
    <xf numFmtId="0" fontId="42" fillId="54" borderId="8" xfId="1" applyFont="1" applyFill="1" applyBorder="1" applyAlignment="1">
      <alignment horizontal="center" wrapText="1"/>
    </xf>
    <xf numFmtId="0" fontId="8" fillId="0" borderId="173" xfId="0" applyFont="1" applyFill="1" applyBorder="1"/>
    <xf numFmtId="0" fontId="38" fillId="0" borderId="182" xfId="0" applyFont="1" applyFill="1" applyBorder="1"/>
    <xf numFmtId="0" fontId="38" fillId="0" borderId="174" xfId="0" applyFont="1" applyFill="1" applyBorder="1"/>
    <xf numFmtId="0" fontId="8" fillId="0" borderId="176" xfId="0" applyFont="1" applyFill="1" applyBorder="1"/>
    <xf numFmtId="0" fontId="38" fillId="0" borderId="177" xfId="0" applyFont="1" applyFill="1" applyBorder="1"/>
    <xf numFmtId="0" fontId="8" fillId="0" borderId="179" xfId="0" applyFont="1" applyFill="1" applyBorder="1"/>
    <xf numFmtId="0" fontId="38" fillId="0" borderId="183" xfId="0" applyFont="1" applyFill="1" applyBorder="1"/>
    <xf numFmtId="0" fontId="38" fillId="0" borderId="180" xfId="0" applyFont="1" applyFill="1" applyBorder="1"/>
    <xf numFmtId="10" fontId="42" fillId="0" borderId="54" xfId="1" applyNumberFormat="1" applyFont="1" applyFill="1" applyBorder="1"/>
    <xf numFmtId="10" fontId="42" fillId="0" borderId="441" xfId="1" applyNumberFormat="1" applyFont="1" applyFill="1" applyBorder="1"/>
    <xf numFmtId="10" fontId="42" fillId="54" borderId="23" xfId="1" applyNumberFormat="1" applyFont="1" applyFill="1" applyBorder="1"/>
    <xf numFmtId="0" fontId="0" fillId="56" borderId="173" xfId="0" applyFill="1" applyBorder="1"/>
    <xf numFmtId="10" fontId="0" fillId="56" borderId="179" xfId="12" applyNumberFormat="1" applyFont="1" applyFill="1" applyBorder="1"/>
    <xf numFmtId="0" fontId="0" fillId="56" borderId="174" xfId="0" applyFill="1" applyBorder="1"/>
    <xf numFmtId="10" fontId="0" fillId="56" borderId="183" xfId="12" applyNumberFormat="1" applyFont="1" applyFill="1" applyBorder="1"/>
    <xf numFmtId="10" fontId="0" fillId="56" borderId="180" xfId="12" applyNumberFormat="1" applyFont="1" applyFill="1" applyBorder="1"/>
    <xf numFmtId="173" fontId="38" fillId="56" borderId="179" xfId="12" applyNumberFormat="1" applyFont="1" applyFill="1" applyBorder="1"/>
    <xf numFmtId="173" fontId="38" fillId="56" borderId="183" xfId="12" applyNumberFormat="1" applyFont="1" applyFill="1" applyBorder="1"/>
    <xf numFmtId="0" fontId="38" fillId="56" borderId="180" xfId="0" applyFont="1" applyFill="1" applyBorder="1"/>
    <xf numFmtId="0" fontId="9" fillId="56" borderId="172" xfId="0" applyFont="1" applyFill="1" applyBorder="1"/>
    <xf numFmtId="0" fontId="12" fillId="6" borderId="222" xfId="1" applyFont="1" applyFill="1" applyBorder="1" applyAlignment="1">
      <alignment horizontal="center" vertical="center" wrapText="1"/>
    </xf>
    <xf numFmtId="10" fontId="12" fillId="6" borderId="32" xfId="1" applyNumberFormat="1" applyFont="1" applyFill="1" applyBorder="1"/>
    <xf numFmtId="0" fontId="39" fillId="0" borderId="170" xfId="0" applyFont="1" applyBorder="1" applyAlignment="1">
      <alignment horizontal="center" vertical="center"/>
    </xf>
    <xf numFmtId="0" fontId="31" fillId="53" borderId="162" xfId="0" applyFont="1" applyFill="1" applyBorder="1" applyAlignment="1">
      <alignment horizontal="center" vertical="center"/>
    </xf>
    <xf numFmtId="0" fontId="12" fillId="64" borderId="173" xfId="1" applyFont="1" applyFill="1" applyBorder="1" applyAlignment="1">
      <alignment horizontal="center" vertical="center" wrapText="1"/>
    </xf>
    <xf numFmtId="0" fontId="12" fillId="64" borderId="182" xfId="1" applyFont="1" applyFill="1" applyBorder="1" applyAlignment="1">
      <alignment horizontal="center" vertical="center" wrapText="1"/>
    </xf>
    <xf numFmtId="0" fontId="12" fillId="64" borderId="174" xfId="1" applyFont="1" applyFill="1" applyBorder="1" applyAlignment="1">
      <alignment horizontal="center" vertical="center" wrapText="1"/>
    </xf>
    <xf numFmtId="173" fontId="0" fillId="56" borderId="179" xfId="12" applyNumberFormat="1" applyFont="1" applyFill="1" applyBorder="1"/>
    <xf numFmtId="173" fontId="0" fillId="56" borderId="183" xfId="12" applyNumberFormat="1" applyFont="1" applyFill="1" applyBorder="1"/>
    <xf numFmtId="173" fontId="0" fillId="56" borderId="180" xfId="12" applyNumberFormat="1" applyFont="1" applyFill="1" applyBorder="1"/>
    <xf numFmtId="0" fontId="0" fillId="56" borderId="175" xfId="0" applyFill="1" applyBorder="1"/>
    <xf numFmtId="9" fontId="12" fillId="3" borderId="27" xfId="1" applyNumberFormat="1" applyFont="1" applyFill="1" applyBorder="1" applyAlignment="1">
      <alignment horizontal="center"/>
    </xf>
    <xf numFmtId="9" fontId="12" fillId="3" borderId="52" xfId="1" applyNumberFormat="1" applyFont="1" applyFill="1" applyBorder="1" applyAlignment="1">
      <alignment horizontal="center"/>
    </xf>
    <xf numFmtId="9" fontId="12" fillId="3" borderId="140" xfId="1" applyNumberFormat="1" applyFont="1" applyFill="1" applyBorder="1" applyAlignment="1">
      <alignment horizontal="center"/>
    </xf>
    <xf numFmtId="0" fontId="39" fillId="0" borderId="18" xfId="0" applyFont="1" applyBorder="1" applyAlignment="1">
      <alignment horizontal="center"/>
    </xf>
    <xf numFmtId="0" fontId="0" fillId="0" borderId="173" xfId="0" applyBorder="1"/>
    <xf numFmtId="0" fontId="0" fillId="0" borderId="182" xfId="0" applyBorder="1"/>
    <xf numFmtId="0" fontId="0" fillId="0" borderId="174" xfId="0" applyBorder="1"/>
    <xf numFmtId="0" fontId="0" fillId="0" borderId="179" xfId="0" applyBorder="1"/>
    <xf numFmtId="0" fontId="0" fillId="0" borderId="183" xfId="0" applyBorder="1"/>
    <xf numFmtId="0" fontId="0" fillId="0" borderId="180" xfId="0" applyBorder="1"/>
    <xf numFmtId="0" fontId="8" fillId="0" borderId="0" xfId="0" applyFont="1" applyFill="1" applyAlignment="1">
      <alignment horizontal="center"/>
    </xf>
    <xf numFmtId="175" fontId="8" fillId="0" borderId="0" xfId="0" applyNumberFormat="1" applyFont="1" applyBorder="1" applyAlignment="1">
      <alignment horizontal="center"/>
    </xf>
    <xf numFmtId="0" fontId="8" fillId="0" borderId="0" xfId="0" applyFont="1" applyBorder="1" applyAlignment="1">
      <alignment horizontal="center"/>
    </xf>
    <xf numFmtId="0" fontId="9" fillId="0" borderId="0" xfId="0" applyFont="1" applyBorder="1" applyAlignment="1">
      <alignment horizontal="center"/>
    </xf>
    <xf numFmtId="0" fontId="9" fillId="0" borderId="177" xfId="0" applyFont="1" applyBorder="1" applyAlignment="1">
      <alignment horizontal="center"/>
    </xf>
    <xf numFmtId="175" fontId="8" fillId="0" borderId="183" xfId="0" applyNumberFormat="1" applyFont="1" applyBorder="1" applyAlignment="1">
      <alignment horizontal="center"/>
    </xf>
    <xf numFmtId="175" fontId="8" fillId="0" borderId="180" xfId="0" applyNumberFormat="1" applyFont="1" applyBorder="1" applyAlignment="1">
      <alignment horizontal="center"/>
    </xf>
    <xf numFmtId="0" fontId="8" fillId="0" borderId="172" xfId="0" applyFont="1" applyBorder="1" applyAlignment="1">
      <alignment wrapText="1"/>
    </xf>
    <xf numFmtId="0" fontId="8" fillId="0" borderId="181" xfId="0" applyFont="1" applyBorder="1" applyAlignment="1">
      <alignment wrapText="1"/>
    </xf>
    <xf numFmtId="0" fontId="8" fillId="0" borderId="171" xfId="0" applyFont="1" applyBorder="1" applyAlignment="1">
      <alignment horizontal="center"/>
    </xf>
    <xf numFmtId="0" fontId="8" fillId="0" borderId="170" xfId="0" applyFont="1" applyBorder="1" applyAlignment="1">
      <alignment horizontal="center"/>
    </xf>
    <xf numFmtId="0" fontId="8" fillId="56" borderId="172" xfId="0" applyFont="1" applyFill="1" applyBorder="1" applyAlignment="1">
      <alignment wrapText="1"/>
    </xf>
    <xf numFmtId="0" fontId="9" fillId="56" borderId="172" xfId="0" applyFont="1" applyFill="1" applyBorder="1" applyAlignment="1">
      <alignment wrapText="1"/>
    </xf>
    <xf numFmtId="0" fontId="9" fillId="0" borderId="178" xfId="0" applyFont="1" applyBorder="1" applyAlignment="1">
      <alignment wrapText="1"/>
    </xf>
    <xf numFmtId="0" fontId="9" fillId="0" borderId="181" xfId="0" applyFont="1" applyBorder="1" applyAlignment="1">
      <alignment wrapText="1"/>
    </xf>
    <xf numFmtId="0" fontId="8" fillId="0" borderId="180" xfId="0" applyFont="1" applyBorder="1" applyAlignment="1">
      <alignment horizontal="center"/>
    </xf>
    <xf numFmtId="0" fontId="11" fillId="56" borderId="169" xfId="1" applyFont="1" applyFill="1" applyBorder="1" applyAlignment="1"/>
    <xf numFmtId="0" fontId="11" fillId="56" borderId="171" xfId="1" applyFont="1" applyFill="1" applyBorder="1" applyAlignment="1"/>
    <xf numFmtId="0" fontId="11" fillId="56" borderId="170" xfId="1" applyFont="1" applyFill="1" applyBorder="1" applyAlignment="1"/>
    <xf numFmtId="9" fontId="8" fillId="0" borderId="173" xfId="12" applyNumberFormat="1" applyFont="1" applyBorder="1"/>
    <xf numFmtId="9" fontId="8" fillId="0" borderId="174" xfId="12" applyNumberFormat="1" applyFont="1" applyBorder="1"/>
    <xf numFmtId="9" fontId="8" fillId="0" borderId="176" xfId="12" applyNumberFormat="1" applyFont="1" applyBorder="1"/>
    <xf numFmtId="9" fontId="8" fillId="0" borderId="177" xfId="12" applyNumberFormat="1" applyFont="1" applyBorder="1"/>
    <xf numFmtId="9" fontId="8" fillId="0" borderId="179" xfId="12" applyNumberFormat="1" applyFont="1" applyBorder="1"/>
    <xf numFmtId="9" fontId="8" fillId="0" borderId="180" xfId="12" applyNumberFormat="1" applyFont="1" applyBorder="1"/>
    <xf numFmtId="9" fontId="8" fillId="0" borderId="0" xfId="12" applyNumberFormat="1" applyFont="1" applyBorder="1"/>
    <xf numFmtId="9" fontId="8" fillId="0" borderId="183" xfId="12" applyNumberFormat="1" applyFont="1" applyBorder="1"/>
    <xf numFmtId="0" fontId="38" fillId="56" borderId="171" xfId="0" applyFont="1" applyFill="1" applyBorder="1"/>
    <xf numFmtId="0" fontId="38" fillId="56" borderId="170" xfId="0" applyFont="1" applyFill="1" applyBorder="1"/>
    <xf numFmtId="0" fontId="8" fillId="56" borderId="173" xfId="0" applyFont="1" applyFill="1" applyBorder="1" applyAlignment="1"/>
    <xf numFmtId="0" fontId="8" fillId="56" borderId="182" xfId="0" applyFont="1" applyFill="1" applyBorder="1" applyAlignment="1"/>
    <xf numFmtId="0" fontId="8" fillId="56" borderId="182" xfId="0" applyFont="1" applyFill="1" applyBorder="1"/>
    <xf numFmtId="0" fontId="8" fillId="56" borderId="174" xfId="0" applyFont="1" applyFill="1" applyBorder="1"/>
    <xf numFmtId="0" fontId="8" fillId="56" borderId="179" xfId="0" applyFont="1" applyFill="1" applyBorder="1" applyAlignment="1"/>
    <xf numFmtId="0" fontId="8" fillId="56" borderId="183" xfId="0" applyFont="1" applyFill="1" applyBorder="1" applyAlignment="1"/>
    <xf numFmtId="0" fontId="8" fillId="56" borderId="180" xfId="0" applyFont="1" applyFill="1" applyBorder="1"/>
    <xf numFmtId="0" fontId="8" fillId="56" borderId="179" xfId="0" applyFont="1" applyFill="1" applyBorder="1"/>
    <xf numFmtId="0" fontId="8" fillId="56" borderId="183" xfId="0" applyFont="1" applyFill="1" applyBorder="1"/>
    <xf numFmtId="0" fontId="64" fillId="0" borderId="0" xfId="0" applyFont="1" applyFill="1" applyBorder="1" applyAlignment="1"/>
    <xf numFmtId="9" fontId="64" fillId="0" borderId="0" xfId="0" applyNumberFormat="1" applyFont="1" applyFill="1" applyBorder="1" applyAlignment="1"/>
    <xf numFmtId="0" fontId="8" fillId="56" borderId="177" xfId="0" applyFont="1" applyFill="1" applyBorder="1"/>
    <xf numFmtId="0" fontId="8" fillId="56" borderId="173" xfId="0" applyFont="1" applyFill="1" applyBorder="1" applyAlignment="1">
      <alignment horizontal="left"/>
    </xf>
    <xf numFmtId="0" fontId="38" fillId="56" borderId="182" xfId="0" applyFont="1" applyFill="1" applyBorder="1" applyAlignment="1">
      <alignment horizontal="left"/>
    </xf>
    <xf numFmtId="0" fontId="38" fillId="56" borderId="174" xfId="0" applyFont="1" applyFill="1" applyBorder="1" applyAlignment="1">
      <alignment horizontal="left"/>
    </xf>
    <xf numFmtId="0" fontId="8" fillId="56" borderId="176" xfId="0" applyFont="1" applyFill="1" applyBorder="1" applyAlignment="1">
      <alignment horizontal="left"/>
    </xf>
    <xf numFmtId="0" fontId="38" fillId="56" borderId="0" xfId="0" applyFont="1" applyFill="1" applyBorder="1" applyAlignment="1">
      <alignment horizontal="left"/>
    </xf>
    <xf numFmtId="0" fontId="38" fillId="56" borderId="177" xfId="0" applyFont="1" applyFill="1" applyBorder="1" applyAlignment="1">
      <alignment horizontal="left"/>
    </xf>
    <xf numFmtId="0" fontId="38" fillId="56" borderId="179" xfId="0" applyFont="1" applyFill="1" applyBorder="1" applyAlignment="1">
      <alignment horizontal="left"/>
    </xf>
    <xf numFmtId="0" fontId="38" fillId="56" borderId="183" xfId="0" applyFont="1" applyFill="1" applyBorder="1" applyAlignment="1">
      <alignment horizontal="left"/>
    </xf>
    <xf numFmtId="0" fontId="38" fillId="56" borderId="180" xfId="0" applyFont="1" applyFill="1" applyBorder="1" applyAlignment="1">
      <alignment horizontal="left"/>
    </xf>
    <xf numFmtId="0" fontId="38" fillId="0" borderId="112" xfId="0" applyFont="1" applyBorder="1" applyAlignment="1">
      <alignment horizontal="center"/>
    </xf>
    <xf numFmtId="0" fontId="38" fillId="0" borderId="16" xfId="0" applyFont="1" applyBorder="1" applyAlignment="1">
      <alignment horizontal="center"/>
    </xf>
    <xf numFmtId="0" fontId="38" fillId="0" borderId="0" xfId="0" applyFont="1" applyAlignment="1">
      <alignment horizontal="center"/>
    </xf>
    <xf numFmtId="0" fontId="38" fillId="0" borderId="118" xfId="0" applyFont="1" applyBorder="1" applyAlignment="1">
      <alignment horizontal="center"/>
    </xf>
    <xf numFmtId="0" fontId="16" fillId="51" borderId="114" xfId="0" applyFont="1" applyFill="1" applyBorder="1" applyAlignment="1">
      <alignment horizontal="center" vertical="center"/>
    </xf>
    <xf numFmtId="0" fontId="16" fillId="51" borderId="115" xfId="0" applyFont="1" applyFill="1" applyBorder="1" applyAlignment="1">
      <alignment horizontal="center" vertical="center"/>
    </xf>
    <xf numFmtId="0" fontId="39" fillId="8" borderId="112" xfId="0" applyFont="1" applyFill="1" applyBorder="1" applyAlignment="1">
      <alignment horizontal="center"/>
    </xf>
    <xf numFmtId="0" fontId="39" fillId="8" borderId="16" xfId="0" applyFont="1" applyFill="1" applyBorder="1" applyAlignment="1">
      <alignment horizontal="center"/>
    </xf>
    <xf numFmtId="4" fontId="42" fillId="8" borderId="114" xfId="1" applyNumberFormat="1" applyFont="1" applyFill="1" applyBorder="1" applyAlignment="1">
      <alignment horizontal="center"/>
    </xf>
    <xf numFmtId="4" fontId="42" fillId="8" borderId="115" xfId="1" applyNumberFormat="1" applyFont="1" applyFill="1" applyBorder="1" applyAlignment="1">
      <alignment horizontal="center"/>
    </xf>
    <xf numFmtId="0" fontId="39" fillId="8" borderId="114" xfId="0" applyFont="1" applyFill="1" applyBorder="1" applyAlignment="1">
      <alignment horizontal="center" wrapText="1"/>
    </xf>
    <xf numFmtId="0" fontId="39" fillId="8" borderId="115" xfId="0" applyFont="1" applyFill="1" applyBorder="1" applyAlignment="1">
      <alignment horizontal="center" wrapText="1"/>
    </xf>
    <xf numFmtId="164" fontId="38" fillId="0" borderId="116" xfId="0" applyNumberFormat="1" applyFont="1" applyBorder="1" applyAlignment="1">
      <alignment horizontal="left" vertical="center" wrapText="1"/>
    </xf>
    <xf numFmtId="164" fontId="38" fillId="0" borderId="14" xfId="0" applyNumberFormat="1" applyFont="1" applyBorder="1" applyAlignment="1">
      <alignment horizontal="left" vertical="center" wrapText="1"/>
    </xf>
    <xf numFmtId="0" fontId="44" fillId="20" borderId="112" xfId="0" applyFont="1" applyFill="1" applyBorder="1" applyAlignment="1">
      <alignment horizontal="left"/>
    </xf>
    <xf numFmtId="0" fontId="44" fillId="20" borderId="113" xfId="0" applyFont="1" applyFill="1" applyBorder="1" applyAlignment="1">
      <alignment horizontal="left"/>
    </xf>
    <xf numFmtId="0" fontId="44" fillId="20" borderId="16" xfId="0" applyFont="1" applyFill="1" applyBorder="1" applyAlignment="1">
      <alignment horizontal="left"/>
    </xf>
    <xf numFmtId="0" fontId="39" fillId="20" borderId="112" xfId="0" applyFont="1" applyFill="1" applyBorder="1" applyAlignment="1">
      <alignment horizontal="left"/>
    </xf>
    <xf numFmtId="0" fontId="39" fillId="20" borderId="16" xfId="0" applyFont="1" applyFill="1" applyBorder="1" applyAlignment="1">
      <alignment horizontal="left"/>
    </xf>
    <xf numFmtId="0" fontId="44" fillId="20" borderId="143" xfId="0" applyFont="1" applyFill="1" applyBorder="1" applyAlignment="1">
      <alignment horizontal="left"/>
    </xf>
    <xf numFmtId="0" fontId="44" fillId="20" borderId="248" xfId="0" applyFont="1" applyFill="1" applyBorder="1" applyAlignment="1">
      <alignment horizontal="left"/>
    </xf>
    <xf numFmtId="0" fontId="44" fillId="20" borderId="249" xfId="0" applyFont="1" applyFill="1" applyBorder="1" applyAlignment="1">
      <alignment horizontal="left"/>
    </xf>
    <xf numFmtId="0" fontId="38" fillId="0" borderId="112" xfId="0" applyFont="1" applyBorder="1" applyAlignment="1">
      <alignment horizontal="left"/>
    </xf>
    <xf numFmtId="0" fontId="38" fillId="0" borderId="113" xfId="0" applyFont="1" applyBorder="1" applyAlignment="1">
      <alignment horizontal="left"/>
    </xf>
    <xf numFmtId="0" fontId="38" fillId="0" borderId="16" xfId="0" applyFont="1" applyBorder="1" applyAlignment="1">
      <alignment horizontal="left"/>
    </xf>
    <xf numFmtId="0" fontId="39" fillId="54" borderId="112" xfId="0" applyFont="1" applyFill="1" applyBorder="1" applyAlignment="1">
      <alignment horizontal="center" vertical="center"/>
    </xf>
    <xf numFmtId="0" fontId="39" fillId="54" borderId="16" xfId="0" applyFont="1" applyFill="1" applyBorder="1" applyAlignment="1">
      <alignment horizontal="center" vertical="center"/>
    </xf>
    <xf numFmtId="0" fontId="39" fillId="54" borderId="114" xfId="0" applyFont="1" applyFill="1" applyBorder="1" applyAlignment="1">
      <alignment horizontal="center" vertical="center" wrapText="1"/>
    </xf>
    <xf numFmtId="0" fontId="39" fillId="54" borderId="115" xfId="0" applyFont="1" applyFill="1" applyBorder="1" applyAlignment="1">
      <alignment horizontal="center" vertical="center" wrapText="1"/>
    </xf>
    <xf numFmtId="0" fontId="31" fillId="53" borderId="143" xfId="0" applyFont="1" applyFill="1" applyBorder="1" applyAlignment="1">
      <alignment horizontal="center" vertical="center" wrapText="1"/>
    </xf>
    <xf numFmtId="0" fontId="31" fillId="53" borderId="248" xfId="0" applyFont="1" applyFill="1" applyBorder="1" applyAlignment="1">
      <alignment horizontal="center" vertical="center" wrapText="1"/>
    </xf>
    <xf numFmtId="0" fontId="31" fillId="53" borderId="249" xfId="0" applyFont="1" applyFill="1" applyBorder="1" applyAlignment="1">
      <alignment horizontal="center" vertical="center" wrapText="1"/>
    </xf>
    <xf numFmtId="0" fontId="31" fillId="21" borderId="390" xfId="0" applyFont="1" applyFill="1" applyBorder="1" applyAlignment="1">
      <alignment horizontal="center" vertical="center"/>
    </xf>
    <xf numFmtId="0" fontId="31" fillId="21" borderId="391" xfId="0" applyFont="1" applyFill="1" applyBorder="1" applyAlignment="1">
      <alignment horizontal="center" vertical="center"/>
    </xf>
    <xf numFmtId="0" fontId="31" fillId="21" borderId="392" xfId="0" applyFont="1" applyFill="1" applyBorder="1" applyAlignment="1">
      <alignment horizontal="center" vertical="center"/>
    </xf>
    <xf numFmtId="0" fontId="31" fillId="54" borderId="383" xfId="0" applyFont="1" applyFill="1" applyBorder="1" applyAlignment="1">
      <alignment horizontal="center" vertical="center"/>
    </xf>
    <xf numFmtId="0" fontId="31" fillId="54" borderId="272" xfId="0" applyFont="1" applyFill="1" applyBorder="1" applyAlignment="1">
      <alignment horizontal="center" vertical="center"/>
    </xf>
    <xf numFmtId="0" fontId="31" fillId="54" borderId="297" xfId="0" applyFont="1" applyFill="1" applyBorder="1" applyAlignment="1">
      <alignment horizontal="center" vertical="center"/>
    </xf>
    <xf numFmtId="171" fontId="27" fillId="0" borderId="394" xfId="0" applyNumberFormat="1" applyFont="1" applyBorder="1" applyAlignment="1">
      <alignment horizontal="center" vertical="center"/>
    </xf>
    <xf numFmtId="171" fontId="27" fillId="0" borderId="342" xfId="0" applyNumberFormat="1" applyFont="1" applyBorder="1" applyAlignment="1">
      <alignment horizontal="center" vertical="center"/>
    </xf>
    <xf numFmtId="0" fontId="15" fillId="54" borderId="414" xfId="1" applyFont="1" applyFill="1" applyBorder="1" applyAlignment="1">
      <alignment horizontal="center" wrapText="1"/>
    </xf>
    <xf numFmtId="0" fontId="15" fillId="54" borderId="162" xfId="1" applyFont="1" applyFill="1" applyBorder="1" applyAlignment="1">
      <alignment horizontal="center" wrapText="1"/>
    </xf>
    <xf numFmtId="0" fontId="15" fillId="54" borderId="117" xfId="1" applyFont="1" applyFill="1" applyBorder="1" applyAlignment="1">
      <alignment horizontal="right"/>
    </xf>
    <xf numFmtId="0" fontId="15" fillId="54" borderId="136" xfId="1" applyFont="1" applyFill="1" applyBorder="1" applyAlignment="1">
      <alignment horizontal="right"/>
    </xf>
    <xf numFmtId="171" fontId="27" fillId="0" borderId="235" xfId="0" applyNumberFormat="1" applyFont="1" applyBorder="1" applyAlignment="1">
      <alignment horizontal="center" vertical="center"/>
    </xf>
    <xf numFmtId="171" fontId="27" fillId="0" borderId="384" xfId="0" applyNumberFormat="1" applyFont="1" applyBorder="1" applyAlignment="1">
      <alignment horizontal="center" vertical="center"/>
    </xf>
    <xf numFmtId="172" fontId="27" fillId="0" borderId="235" xfId="0" applyNumberFormat="1" applyFont="1" applyBorder="1" applyAlignment="1">
      <alignment horizontal="left" vertical="center"/>
    </xf>
    <xf numFmtId="172" fontId="27" fillId="0" borderId="342" xfId="0" applyNumberFormat="1" applyFont="1" applyBorder="1" applyAlignment="1">
      <alignment horizontal="left" vertical="center"/>
    </xf>
    <xf numFmtId="0" fontId="31" fillId="54" borderId="241" xfId="0" applyFont="1" applyFill="1" applyBorder="1" applyAlignment="1">
      <alignment horizontal="center" vertical="center"/>
    </xf>
    <xf numFmtId="172" fontId="27" fillId="0" borderId="394" xfId="0" applyNumberFormat="1" applyFont="1" applyBorder="1" applyAlignment="1">
      <alignment horizontal="left" vertical="center"/>
    </xf>
    <xf numFmtId="0" fontId="9" fillId="20" borderId="10" xfId="0" applyFont="1" applyFill="1" applyBorder="1" applyAlignment="1">
      <alignment horizontal="center" wrapText="1"/>
    </xf>
    <xf numFmtId="0" fontId="9" fillId="20" borderId="11" xfId="0" applyFont="1" applyFill="1" applyBorder="1" applyAlignment="1">
      <alignment horizontal="center" wrapText="1"/>
    </xf>
    <xf numFmtId="0" fontId="9" fillId="20" borderId="12" xfId="0" applyFont="1" applyFill="1" applyBorder="1" applyAlignment="1">
      <alignment horizontal="center" wrapText="1"/>
    </xf>
    <xf numFmtId="0" fontId="9" fillId="20" borderId="10" xfId="0" applyFont="1" applyFill="1" applyBorder="1" applyAlignment="1">
      <alignment horizontal="center"/>
    </xf>
    <xf numFmtId="0" fontId="9" fillId="20" borderId="11" xfId="0" applyFont="1" applyFill="1" applyBorder="1" applyAlignment="1">
      <alignment horizontal="center"/>
    </xf>
    <xf numFmtId="0" fontId="9" fillId="20" borderId="12" xfId="0" applyFont="1" applyFill="1" applyBorder="1" applyAlignment="1">
      <alignment horizontal="center"/>
    </xf>
    <xf numFmtId="0" fontId="16" fillId="20" borderId="112" xfId="0" applyFont="1" applyFill="1" applyBorder="1" applyAlignment="1">
      <alignment horizontal="left"/>
    </xf>
    <xf numFmtId="0" fontId="16" fillId="20" borderId="113" xfId="0" applyFont="1" applyFill="1" applyBorder="1" applyAlignment="1">
      <alignment horizontal="left"/>
    </xf>
    <xf numFmtId="0" fontId="16" fillId="20" borderId="16" xfId="0" applyFont="1" applyFill="1" applyBorder="1" applyAlignment="1">
      <alignment horizontal="left"/>
    </xf>
    <xf numFmtId="0" fontId="9" fillId="20" borderId="112" xfId="0" applyFont="1" applyFill="1" applyBorder="1" applyAlignment="1">
      <alignment horizontal="left"/>
    </xf>
    <xf numFmtId="0" fontId="9" fillId="20" borderId="113" xfId="0" applyFont="1" applyFill="1" applyBorder="1" applyAlignment="1">
      <alignment horizontal="left"/>
    </xf>
    <xf numFmtId="0" fontId="9" fillId="20" borderId="16" xfId="0" applyFont="1" applyFill="1" applyBorder="1" applyAlignment="1">
      <alignment horizontal="left"/>
    </xf>
    <xf numFmtId="0" fontId="11" fillId="0" borderId="0" xfId="1" applyFont="1" applyAlignment="1">
      <alignment horizontal="center"/>
    </xf>
    <xf numFmtId="0" fontId="11" fillId="56" borderId="179" xfId="1" applyFont="1" applyFill="1" applyBorder="1" applyAlignment="1">
      <alignment horizontal="center"/>
    </xf>
    <xf numFmtId="0" fontId="11" fillId="56" borderId="183" xfId="1" applyFont="1" applyFill="1" applyBorder="1" applyAlignment="1">
      <alignment horizontal="center"/>
    </xf>
    <xf numFmtId="0" fontId="11" fillId="56" borderId="180" xfId="1" applyFont="1" applyFill="1" applyBorder="1" applyAlignment="1">
      <alignment horizontal="center"/>
    </xf>
    <xf numFmtId="0" fontId="11" fillId="56" borderId="173" xfId="1" applyFont="1" applyFill="1" applyBorder="1" applyAlignment="1">
      <alignment horizontal="center"/>
    </xf>
    <xf numFmtId="0" fontId="11" fillId="56" borderId="182" xfId="1" applyFont="1" applyFill="1" applyBorder="1" applyAlignment="1">
      <alignment horizontal="center"/>
    </xf>
    <xf numFmtId="0" fontId="11" fillId="56" borderId="174" xfId="1" applyFont="1" applyFill="1" applyBorder="1" applyAlignment="1">
      <alignment horizontal="center"/>
    </xf>
    <xf numFmtId="0" fontId="8" fillId="56" borderId="173" xfId="0" applyFont="1" applyFill="1" applyBorder="1" applyAlignment="1">
      <alignment horizontal="center" wrapText="1"/>
    </xf>
    <xf numFmtId="0" fontId="8" fillId="56" borderId="182" xfId="0" applyFont="1" applyFill="1" applyBorder="1" applyAlignment="1">
      <alignment horizontal="center" wrapText="1"/>
    </xf>
    <xf numFmtId="0" fontId="8" fillId="56" borderId="174" xfId="0" applyFont="1" applyFill="1" applyBorder="1" applyAlignment="1">
      <alignment horizontal="center" wrapText="1"/>
    </xf>
    <xf numFmtId="0" fontId="8" fillId="56" borderId="176" xfId="0" applyFont="1" applyFill="1" applyBorder="1" applyAlignment="1">
      <alignment horizontal="center" wrapText="1"/>
    </xf>
    <xf numFmtId="0" fontId="8" fillId="56" borderId="0" xfId="0" applyFont="1" applyFill="1" applyBorder="1" applyAlignment="1">
      <alignment horizontal="center" wrapText="1"/>
    </xf>
    <xf numFmtId="0" fontId="8" fillId="56" borderId="179" xfId="0" applyFont="1" applyFill="1" applyBorder="1" applyAlignment="1">
      <alignment horizontal="center" wrapText="1"/>
    </xf>
    <xf numFmtId="0" fontId="8" fillId="56" borderId="183" xfId="0" applyFont="1" applyFill="1" applyBorder="1" applyAlignment="1">
      <alignment horizontal="center" wrapText="1"/>
    </xf>
    <xf numFmtId="0" fontId="38" fillId="8" borderId="112" xfId="0" applyFont="1" applyFill="1" applyBorder="1" applyAlignment="1">
      <alignment horizontal="center"/>
    </xf>
    <xf numFmtId="0" fontId="38" fillId="8" borderId="113" xfId="0" applyFont="1" applyFill="1" applyBorder="1" applyAlignment="1">
      <alignment horizontal="center"/>
    </xf>
    <xf numFmtId="0" fontId="38" fillId="8" borderId="16" xfId="0" applyFont="1" applyFill="1" applyBorder="1" applyAlignment="1">
      <alignment horizontal="center"/>
    </xf>
    <xf numFmtId="0" fontId="39" fillId="8" borderId="114" xfId="0" applyFont="1" applyFill="1" applyBorder="1" applyAlignment="1">
      <alignment horizontal="center"/>
    </xf>
    <xf numFmtId="0" fontId="39" fillId="8" borderId="157" xfId="0" applyFont="1" applyFill="1" applyBorder="1" applyAlignment="1">
      <alignment horizontal="center"/>
    </xf>
    <xf numFmtId="0" fontId="39" fillId="8" borderId="115" xfId="0" applyFont="1" applyFill="1" applyBorder="1" applyAlignment="1">
      <alignment horizontal="center"/>
    </xf>
    <xf numFmtId="0" fontId="43" fillId="8" borderId="151" xfId="0" applyFont="1" applyFill="1" applyBorder="1" applyAlignment="1">
      <alignment horizontal="center" wrapText="1"/>
    </xf>
    <xf numFmtId="0" fontId="43" fillId="8" borderId="404" xfId="0" applyFont="1" applyFill="1" applyBorder="1" applyAlignment="1">
      <alignment horizontal="center" wrapText="1"/>
    </xf>
    <xf numFmtId="0" fontId="43" fillId="8" borderId="114" xfId="0" applyFont="1" applyFill="1" applyBorder="1" applyAlignment="1">
      <alignment horizontal="center" wrapText="1"/>
    </xf>
    <xf numFmtId="0" fontId="43" fillId="8" borderId="117" xfId="0" applyFont="1" applyFill="1" applyBorder="1" applyAlignment="1">
      <alignment horizontal="center" wrapText="1"/>
    </xf>
    <xf numFmtId="0" fontId="43" fillId="8" borderId="123" xfId="7" applyFont="1" applyFill="1" applyBorder="1" applyAlignment="1">
      <alignment horizontal="center"/>
    </xf>
    <xf numFmtId="0" fontId="43" fillId="8" borderId="407" xfId="7" applyFont="1" applyFill="1" applyBorder="1" applyAlignment="1">
      <alignment horizontal="center"/>
    </xf>
    <xf numFmtId="0" fontId="43" fillId="8" borderId="114" xfId="7" applyFont="1" applyFill="1" applyBorder="1" applyAlignment="1">
      <alignment horizontal="center"/>
    </xf>
    <xf numFmtId="0" fontId="43" fillId="8" borderId="157" xfId="7" applyFont="1" applyFill="1" applyBorder="1" applyAlignment="1">
      <alignment horizontal="center"/>
    </xf>
    <xf numFmtId="0" fontId="43" fillId="8" borderId="115" xfId="7" applyFont="1" applyFill="1" applyBorder="1" applyAlignment="1">
      <alignment horizontal="center"/>
    </xf>
    <xf numFmtId="183" fontId="43" fillId="8" borderId="114" xfId="6" applyNumberFormat="1" applyFont="1" applyFill="1" applyBorder="1" applyAlignment="1">
      <alignment horizontal="center"/>
    </xf>
    <xf numFmtId="183" fontId="43" fillId="8" borderId="157" xfId="6" applyNumberFormat="1" applyFont="1" applyFill="1" applyBorder="1" applyAlignment="1">
      <alignment horizontal="center"/>
    </xf>
    <xf numFmtId="183" fontId="43" fillId="8" borderId="115" xfId="6" applyNumberFormat="1" applyFont="1" applyFill="1" applyBorder="1" applyAlignment="1">
      <alignment horizontal="center"/>
    </xf>
    <xf numFmtId="0" fontId="43" fillId="8" borderId="151" xfId="7" applyFont="1" applyFill="1" applyBorder="1" applyAlignment="1">
      <alignment wrapText="1"/>
    </xf>
    <xf numFmtId="0" fontId="43" fillId="8" borderId="404" xfId="7" applyFont="1" applyFill="1" applyBorder="1" applyAlignment="1">
      <alignment wrapText="1"/>
    </xf>
    <xf numFmtId="0" fontId="43" fillId="8" borderId="151" xfId="7" applyFont="1" applyFill="1" applyBorder="1" applyAlignment="1">
      <alignment horizontal="center" wrapText="1"/>
    </xf>
    <xf numFmtId="0" fontId="43" fillId="8" borderId="404" xfId="7" applyFont="1" applyFill="1" applyBorder="1" applyAlignment="1">
      <alignment horizontal="center" wrapText="1"/>
    </xf>
    <xf numFmtId="0" fontId="43" fillId="8" borderId="123" xfId="0" applyFont="1" applyFill="1" applyBorder="1" applyAlignment="1">
      <alignment horizontal="center"/>
    </xf>
    <xf numFmtId="0" fontId="43" fillId="8" borderId="407" xfId="0" applyFont="1" applyFill="1" applyBorder="1" applyAlignment="1">
      <alignment horizontal="center"/>
    </xf>
    <xf numFmtId="0" fontId="43" fillId="8" borderId="168" xfId="0" applyFont="1" applyFill="1" applyBorder="1" applyAlignment="1">
      <alignment horizontal="center"/>
    </xf>
    <xf numFmtId="0" fontId="43" fillId="8" borderId="112" xfId="0" applyFont="1" applyFill="1" applyBorder="1" applyAlignment="1">
      <alignment horizontal="center"/>
    </xf>
    <xf numFmtId="0" fontId="43" fillId="8" borderId="113" xfId="0" applyFont="1" applyFill="1" applyBorder="1" applyAlignment="1">
      <alignment horizontal="center"/>
    </xf>
    <xf numFmtId="0" fontId="48" fillId="8" borderId="112" xfId="3" applyFont="1" applyFill="1" applyBorder="1" applyAlignment="1">
      <alignment horizontal="center"/>
    </xf>
    <xf numFmtId="0" fontId="48" fillId="8" borderId="113" xfId="3" applyFont="1" applyFill="1" applyBorder="1" applyAlignment="1">
      <alignment horizontal="center"/>
    </xf>
    <xf numFmtId="4" fontId="42" fillId="50" borderId="274" xfId="1" applyNumberFormat="1" applyFont="1" applyFill="1" applyBorder="1" applyAlignment="1">
      <alignment horizontal="center" vertical="center"/>
    </xf>
    <xf numFmtId="4" fontId="42" fillId="50" borderId="275" xfId="1" applyNumberFormat="1" applyFont="1" applyFill="1" applyBorder="1" applyAlignment="1">
      <alignment horizontal="center" vertical="center"/>
    </xf>
    <xf numFmtId="4" fontId="42" fillId="50" borderId="276" xfId="1" applyNumberFormat="1" applyFont="1" applyFill="1" applyBorder="1" applyAlignment="1">
      <alignment horizontal="center" vertical="center"/>
    </xf>
    <xf numFmtId="4" fontId="42" fillId="50" borderId="277" xfId="1" applyNumberFormat="1" applyFont="1" applyFill="1" applyBorder="1" applyAlignment="1">
      <alignment horizontal="center" vertical="center"/>
    </xf>
    <xf numFmtId="4" fontId="42" fillId="8" borderId="274" xfId="1" applyNumberFormat="1" applyFont="1" applyFill="1" applyBorder="1" applyAlignment="1">
      <alignment horizontal="center" vertical="center"/>
    </xf>
    <xf numFmtId="4" fontId="42" fillId="8" borderId="275" xfId="1" applyNumberFormat="1" applyFont="1" applyFill="1" applyBorder="1" applyAlignment="1">
      <alignment horizontal="center" vertical="center"/>
    </xf>
    <xf numFmtId="4" fontId="42" fillId="8" borderId="276" xfId="1" applyNumberFormat="1" applyFont="1" applyFill="1" applyBorder="1" applyAlignment="1">
      <alignment horizontal="center" vertical="center"/>
    </xf>
    <xf numFmtId="4" fontId="42" fillId="8" borderId="277" xfId="1" applyNumberFormat="1" applyFont="1" applyFill="1" applyBorder="1" applyAlignment="1">
      <alignment horizontal="center" vertical="center"/>
    </xf>
    <xf numFmtId="4" fontId="42" fillId="8" borderId="114" xfId="1" applyNumberFormat="1" applyFont="1" applyFill="1" applyBorder="1" applyAlignment="1">
      <alignment horizontal="center" vertical="center"/>
    </xf>
    <xf numFmtId="4" fontId="42" fillId="8" borderId="115" xfId="1" applyNumberFormat="1" applyFont="1" applyFill="1" applyBorder="1" applyAlignment="1">
      <alignment horizontal="center" vertical="center"/>
    </xf>
    <xf numFmtId="4" fontId="42" fillId="8" borderId="371" xfId="1" applyNumberFormat="1" applyFont="1" applyFill="1" applyBorder="1" applyAlignment="1">
      <alignment horizontal="center" vertical="center"/>
    </xf>
    <xf numFmtId="4" fontId="42" fillId="8" borderId="382" xfId="1" applyNumberFormat="1" applyFont="1" applyFill="1" applyBorder="1" applyAlignment="1">
      <alignment horizontal="center" vertical="center"/>
    </xf>
    <xf numFmtId="0" fontId="39" fillId="8" borderId="151" xfId="0" applyFont="1" applyFill="1" applyBorder="1" applyAlignment="1">
      <alignment horizontal="center"/>
    </xf>
    <xf numFmtId="0" fontId="39" fillId="8" borderId="399" xfId="0" applyFont="1" applyFill="1" applyBorder="1" applyAlignment="1">
      <alignment horizontal="center"/>
    </xf>
    <xf numFmtId="192" fontId="38" fillId="0" borderId="9" xfId="0" applyNumberFormat="1" applyFont="1" applyBorder="1" applyAlignment="1">
      <alignment horizontal="center" vertical="center"/>
    </xf>
    <xf numFmtId="192" fontId="38" fillId="0" borderId="9" xfId="0" applyNumberFormat="1" applyFont="1" applyBorder="1" applyAlignment="1">
      <alignment horizontal="center"/>
    </xf>
    <xf numFmtId="191" fontId="38" fillId="0" borderId="9" xfId="0" applyNumberFormat="1" applyFont="1" applyBorder="1" applyAlignment="1">
      <alignment horizontal="center" vertical="center"/>
    </xf>
    <xf numFmtId="0" fontId="38" fillId="0" borderId="9" xfId="0" applyFont="1" applyBorder="1" applyAlignment="1">
      <alignment horizontal="center" vertical="center"/>
    </xf>
    <xf numFmtId="0" fontId="38" fillId="0" borderId="9" xfId="0" applyFont="1" applyBorder="1" applyAlignment="1">
      <alignment horizontal="center"/>
    </xf>
    <xf numFmtId="191" fontId="38" fillId="0" borderId="9" xfId="0" applyNumberFormat="1" applyFont="1" applyBorder="1" applyAlignment="1">
      <alignment horizontal="center"/>
    </xf>
    <xf numFmtId="0" fontId="42" fillId="8" borderId="112" xfId="1" applyFont="1" applyFill="1" applyBorder="1" applyAlignment="1">
      <alignment horizontal="center" vertical="center"/>
    </xf>
    <xf numFmtId="0" fontId="42" fillId="8" borderId="113" xfId="1" applyFont="1" applyFill="1" applyBorder="1" applyAlignment="1">
      <alignment horizontal="center" vertical="center"/>
    </xf>
    <xf numFmtId="0" fontId="42" fillId="8" borderId="16" xfId="1" applyFont="1" applyFill="1" applyBorder="1" applyAlignment="1">
      <alignment horizontal="center" vertical="center"/>
    </xf>
    <xf numFmtId="0" fontId="42" fillId="8" borderId="114" xfId="1" applyFont="1" applyFill="1" applyBorder="1" applyAlignment="1">
      <alignment horizontal="center" vertical="center"/>
    </xf>
    <xf numFmtId="0" fontId="42" fillId="8" borderId="157" xfId="1" applyFont="1" applyFill="1" applyBorder="1" applyAlignment="1">
      <alignment horizontal="center" vertical="center"/>
    </xf>
    <xf numFmtId="0" fontId="42" fillId="8" borderId="115" xfId="1" applyFont="1" applyFill="1" applyBorder="1" applyAlignment="1">
      <alignment horizontal="center" vertical="center"/>
    </xf>
    <xf numFmtId="0" fontId="42" fillId="8" borderId="112" xfId="1" applyFont="1" applyFill="1" applyBorder="1" applyAlignment="1">
      <alignment horizontal="center" vertical="center" wrapText="1"/>
    </xf>
    <xf numFmtId="0" fontId="42" fillId="8" borderId="113" xfId="1" applyFont="1" applyFill="1" applyBorder="1" applyAlignment="1">
      <alignment horizontal="center" vertical="center" wrapText="1"/>
    </xf>
    <xf numFmtId="0" fontId="42" fillId="8" borderId="16" xfId="1" applyFont="1" applyFill="1" applyBorder="1" applyAlignment="1">
      <alignment horizontal="center" vertical="center" wrapText="1"/>
    </xf>
    <xf numFmtId="0" fontId="6" fillId="0" borderId="11" xfId="4" applyBorder="1" applyAlignment="1">
      <alignment horizontal="left"/>
    </xf>
    <xf numFmtId="0" fontId="6" fillId="0" borderId="476" xfId="4" applyBorder="1" applyAlignment="1">
      <alignment horizontal="left"/>
    </xf>
    <xf numFmtId="181" fontId="48" fillId="0" borderId="118" xfId="1" quotePrefix="1" applyNumberFormat="1" applyFont="1" applyBorder="1" applyAlignment="1">
      <alignment horizontal="center" vertical="center"/>
    </xf>
    <xf numFmtId="181" fontId="48" fillId="0" borderId="15" xfId="1" applyNumberFormat="1" applyFont="1" applyBorder="1" applyAlignment="1">
      <alignment horizontal="center" vertical="center"/>
    </xf>
    <xf numFmtId="0" fontId="44" fillId="8" borderId="112" xfId="1" applyFont="1" applyFill="1" applyBorder="1" applyAlignment="1">
      <alignment horizontal="center"/>
    </xf>
    <xf numFmtId="0" fontId="44" fillId="8" borderId="113" xfId="1" applyFont="1" applyFill="1" applyBorder="1" applyAlignment="1">
      <alignment horizontal="center"/>
    </xf>
    <xf numFmtId="0" fontId="44" fillId="8" borderId="16" xfId="1" applyFont="1" applyFill="1" applyBorder="1" applyAlignment="1">
      <alignment horizontal="center"/>
    </xf>
    <xf numFmtId="0" fontId="44" fillId="8" borderId="389" xfId="1" applyFont="1" applyFill="1" applyBorder="1" applyAlignment="1">
      <alignment horizontal="center"/>
    </xf>
    <xf numFmtId="0" fontId="44" fillId="8" borderId="118" xfId="1" applyFont="1" applyFill="1" applyBorder="1" applyAlignment="1">
      <alignment horizontal="center"/>
    </xf>
    <xf numFmtId="0" fontId="44" fillId="8" borderId="15" xfId="1" applyFont="1" applyFill="1" applyBorder="1" applyAlignment="1">
      <alignment horizontal="center"/>
    </xf>
    <xf numFmtId="0" fontId="48" fillId="0" borderId="142" xfId="1" applyFont="1" applyFill="1" applyBorder="1" applyAlignment="1">
      <alignment horizontal="left"/>
    </xf>
    <xf numFmtId="0" fontId="48" fillId="0" borderId="160" xfId="1" applyFont="1" applyFill="1" applyBorder="1" applyAlignment="1">
      <alignment horizontal="left"/>
    </xf>
    <xf numFmtId="172" fontId="48" fillId="0" borderId="0" xfId="1" applyNumberFormat="1" applyFont="1" applyBorder="1" applyAlignment="1">
      <alignment horizontal="center" vertical="center"/>
    </xf>
    <xf numFmtId="172" fontId="48" fillId="0" borderId="14" xfId="1" applyNumberFormat="1" applyFont="1" applyBorder="1" applyAlignment="1">
      <alignment horizontal="center" vertical="center"/>
    </xf>
    <xf numFmtId="175" fontId="48" fillId="0" borderId="165" xfId="1" applyNumberFormat="1" applyFont="1" applyBorder="1" applyAlignment="1">
      <alignment horizontal="center"/>
    </xf>
    <xf numFmtId="175" fontId="48" fillId="0" borderId="479" xfId="1" applyNumberFormat="1" applyFont="1" applyBorder="1" applyAlignment="1">
      <alignment horizontal="center"/>
    </xf>
    <xf numFmtId="0" fontId="48" fillId="0" borderId="166" xfId="1" applyFont="1" applyBorder="1" applyAlignment="1">
      <alignment horizontal="left" vertical="top"/>
    </xf>
    <xf numFmtId="0" fontId="48" fillId="0" borderId="13" xfId="1" applyFont="1" applyBorder="1" applyAlignment="1">
      <alignment horizontal="left" vertical="top"/>
    </xf>
    <xf numFmtId="0" fontId="48" fillId="0" borderId="165" xfId="1" applyFont="1" applyBorder="1" applyAlignment="1">
      <alignment horizontal="left" wrapText="1"/>
    </xf>
    <xf numFmtId="0" fontId="48" fillId="0" borderId="479" xfId="1" applyFont="1" applyBorder="1" applyAlignment="1">
      <alignment horizontal="left"/>
    </xf>
    <xf numFmtId="0" fontId="48" fillId="0" borderId="0" xfId="1" applyFont="1" applyBorder="1" applyAlignment="1">
      <alignment horizontal="left"/>
    </xf>
    <xf numFmtId="0" fontId="48" fillId="0" borderId="14" xfId="1" applyFont="1" applyBorder="1" applyAlignment="1">
      <alignment horizontal="left"/>
    </xf>
    <xf numFmtId="0" fontId="51" fillId="0" borderId="11" xfId="4" applyFont="1" applyBorder="1" applyAlignment="1">
      <alignment horizontal="left"/>
    </xf>
    <xf numFmtId="0" fontId="51" fillId="0" borderId="476" xfId="4" applyFont="1" applyBorder="1" applyAlignment="1">
      <alignment horizontal="left"/>
    </xf>
    <xf numFmtId="0" fontId="44" fillId="8" borderId="117" xfId="1" applyFont="1" applyFill="1" applyBorder="1" applyAlignment="1">
      <alignment horizontal="center"/>
    </xf>
    <xf numFmtId="0" fontId="44" fillId="8" borderId="242" xfId="1" applyFont="1" applyFill="1" applyBorder="1" applyAlignment="1">
      <alignment horizontal="center"/>
    </xf>
    <xf numFmtId="0" fontId="48" fillId="0" borderId="383" xfId="1" applyFont="1" applyBorder="1" applyAlignment="1">
      <alignment horizontal="left" vertical="top"/>
    </xf>
    <xf numFmtId="0" fontId="48" fillId="0" borderId="238" xfId="1" applyFont="1" applyBorder="1" applyAlignment="1">
      <alignment horizontal="left" vertical="top"/>
    </xf>
    <xf numFmtId="0" fontId="44" fillId="8" borderId="143" xfId="1" applyFont="1" applyFill="1" applyBorder="1" applyAlignment="1">
      <alignment horizontal="center"/>
    </xf>
    <xf numFmtId="0" fontId="44" fillId="8" borderId="249" xfId="1" applyFont="1" applyFill="1" applyBorder="1" applyAlignment="1">
      <alignment horizontal="center"/>
    </xf>
    <xf numFmtId="0" fontId="48" fillId="55" borderId="0" xfId="1" applyFont="1" applyFill="1" applyAlignment="1">
      <alignment horizontal="center" vertical="center" wrapText="1"/>
    </xf>
    <xf numFmtId="164" fontId="48" fillId="55" borderId="0" xfId="1" applyNumberFormat="1" applyFont="1" applyFill="1" applyBorder="1" applyAlignment="1">
      <alignment horizontal="center" wrapText="1"/>
    </xf>
    <xf numFmtId="164" fontId="48" fillId="55" borderId="0" xfId="1" applyNumberFormat="1" applyFont="1" applyFill="1" applyAlignment="1">
      <alignment horizontal="center" wrapText="1"/>
    </xf>
    <xf numFmtId="0" fontId="48" fillId="55" borderId="0" xfId="1" applyFont="1" applyFill="1" applyAlignment="1">
      <alignment horizontal="center" wrapText="1"/>
    </xf>
    <xf numFmtId="0" fontId="12" fillId="0" borderId="1" xfId="1" applyFont="1" applyBorder="1" applyAlignment="1">
      <alignment horizontal="center"/>
    </xf>
    <xf numFmtId="0" fontId="13" fillId="0" borderId="2" xfId="1" applyFont="1" applyBorder="1" applyAlignment="1"/>
    <xf numFmtId="0" fontId="13" fillId="0" borderId="3" xfId="1" applyFont="1" applyBorder="1" applyAlignment="1"/>
    <xf numFmtId="0" fontId="13" fillId="0" borderId="4" xfId="1" applyFont="1" applyFill="1" applyBorder="1" applyAlignment="1">
      <alignment textRotation="90"/>
    </xf>
    <xf numFmtId="0" fontId="13" fillId="0" borderId="5" xfId="1" applyFont="1" applyFill="1" applyBorder="1" applyAlignment="1"/>
    <xf numFmtId="0" fontId="13" fillId="0" borderId="6" xfId="1" applyFont="1" applyFill="1" applyBorder="1" applyAlignment="1"/>
    <xf numFmtId="0" fontId="13" fillId="0" borderId="4" xfId="1" applyFont="1" applyFill="1" applyBorder="1" applyAlignment="1">
      <alignment horizontal="center" textRotation="90"/>
    </xf>
    <xf numFmtId="0" fontId="13" fillId="0" borderId="5" xfId="1" applyFont="1" applyFill="1" applyBorder="1" applyAlignment="1">
      <alignment horizontal="center" textRotation="90"/>
    </xf>
    <xf numFmtId="0" fontId="13" fillId="0" borderId="4" xfId="1" applyFont="1" applyBorder="1" applyAlignment="1">
      <alignment textRotation="90"/>
    </xf>
    <xf numFmtId="0" fontId="13" fillId="0" borderId="5" xfId="1" applyFont="1" applyBorder="1" applyAlignment="1"/>
    <xf numFmtId="0" fontId="39" fillId="8" borderId="113" xfId="0" applyFont="1" applyFill="1" applyBorder="1" applyAlignment="1">
      <alignment horizontal="center"/>
    </xf>
    <xf numFmtId="0" fontId="38" fillId="8" borderId="123" xfId="0" applyFont="1" applyFill="1" applyBorder="1" applyAlignment="1">
      <alignment horizontal="center"/>
    </xf>
    <xf numFmtId="0" fontId="38" fillId="8" borderId="407" xfId="0" applyFont="1" applyFill="1" applyBorder="1" applyAlignment="1">
      <alignment horizontal="center"/>
    </xf>
    <xf numFmtId="0" fontId="38" fillId="8" borderId="365" xfId="0" applyFont="1" applyFill="1" applyBorder="1" applyAlignment="1">
      <alignment horizontal="center"/>
    </xf>
    <xf numFmtId="0" fontId="38" fillId="8" borderId="241" xfId="0" applyFont="1" applyFill="1" applyBorder="1" applyAlignment="1">
      <alignment horizontal="center"/>
    </xf>
    <xf numFmtId="0" fontId="38" fillId="8" borderId="384" xfId="0" applyFont="1" applyFill="1" applyBorder="1" applyAlignment="1">
      <alignment horizontal="center"/>
    </xf>
    <xf numFmtId="0" fontId="38" fillId="8" borderId="370" xfId="0" applyFont="1" applyFill="1" applyBorder="1" applyAlignment="1">
      <alignment horizontal="center"/>
    </xf>
    <xf numFmtId="0" fontId="38" fillId="8" borderId="401" xfId="0" applyFont="1" applyFill="1" applyBorder="1" applyAlignment="1">
      <alignment horizontal="center"/>
    </xf>
    <xf numFmtId="0" fontId="38" fillId="8" borderId="9" xfId="0" applyFont="1" applyFill="1" applyBorder="1" applyAlignment="1">
      <alignment horizontal="center"/>
    </xf>
    <xf numFmtId="0" fontId="38" fillId="8" borderId="402" xfId="0" applyFont="1" applyFill="1" applyBorder="1" applyAlignment="1">
      <alignment horizontal="center"/>
    </xf>
    <xf numFmtId="0" fontId="38" fillId="0" borderId="165" xfId="0" applyFont="1" applyBorder="1" applyAlignment="1">
      <alignment horizontal="center"/>
    </xf>
    <xf numFmtId="0" fontId="39" fillId="20" borderId="114" xfId="0" applyFont="1" applyFill="1" applyBorder="1" applyAlignment="1">
      <alignment horizontal="center"/>
    </xf>
    <xf numFmtId="0" fontId="39" fillId="20" borderId="115" xfId="0" applyFont="1" applyFill="1" applyBorder="1" applyAlignment="1">
      <alignment horizontal="center"/>
    </xf>
    <xf numFmtId="0" fontId="8" fillId="0" borderId="173" xfId="0" applyFont="1" applyBorder="1" applyAlignment="1">
      <alignment horizontal="center"/>
    </xf>
    <xf numFmtId="0" fontId="51" fillId="0" borderId="174" xfId="4" applyFont="1" applyBorder="1" applyAlignment="1">
      <alignment horizontal="left"/>
    </xf>
    <xf numFmtId="0" fontId="11" fillId="8" borderId="176" xfId="0" applyFont="1" applyFill="1" applyBorder="1" applyAlignment="1">
      <alignment horizontal="center"/>
    </xf>
    <xf numFmtId="0" fontId="51" fillId="0" borderId="177" xfId="4" applyFont="1" applyBorder="1" applyAlignment="1">
      <alignment horizontal="left"/>
    </xf>
    <xf numFmtId="0" fontId="11" fillId="54" borderId="176" xfId="0" applyFont="1" applyFill="1" applyBorder="1" applyAlignment="1">
      <alignment horizontal="center"/>
    </xf>
    <xf numFmtId="0" fontId="11" fillId="20" borderId="176" xfId="0" applyFont="1" applyFill="1" applyBorder="1" applyAlignment="1">
      <alignment horizontal="center"/>
    </xf>
    <xf numFmtId="0" fontId="11" fillId="2" borderId="176" xfId="0" applyFont="1" applyFill="1" applyBorder="1" applyAlignment="1">
      <alignment horizontal="center"/>
    </xf>
    <xf numFmtId="0" fontId="6" fillId="0" borderId="177" xfId="4" applyBorder="1" applyAlignment="1">
      <alignment horizontal="left"/>
    </xf>
    <xf numFmtId="0" fontId="6" fillId="0" borderId="180" xfId="4" applyBorder="1" applyAlignment="1">
      <alignment horizontal="left"/>
    </xf>
    <xf numFmtId="0" fontId="11" fillId="2" borderId="179" xfId="0" applyFont="1" applyFill="1" applyBorder="1" applyAlignment="1">
      <alignment horizontal="center"/>
    </xf>
  </cellXfs>
  <cellStyles count="25">
    <cellStyle name="Comma" xfId="6" builtinId="3"/>
    <cellStyle name="Comma 2" xfId="8"/>
    <cellStyle name="Currency" xfId="2" builtinId="4"/>
    <cellStyle name="Currency 2" xfId="9"/>
    <cellStyle name="Followed Hyperlink" xfId="17" builtinId="9" hidden="1"/>
    <cellStyle name="Followed Hyperlink" xfId="21" builtinId="9" hidden="1"/>
    <cellStyle name="Followed Hyperlink" xfId="19" builtinId="9" hidden="1"/>
    <cellStyle name="Followed Hyperlink" xfId="16" builtinId="9" hidden="1"/>
    <cellStyle name="Followed Hyperlink" xfId="15" builtinId="9" hidden="1"/>
    <cellStyle name="Followed Hyperlink" xfId="18" builtinId="9" hidden="1"/>
    <cellStyle name="Followed Hyperlink" xfId="5" builtinId="9" hidden="1"/>
    <cellStyle name="Followed Hyperlink" xfId="23" builtinId="9" hidden="1"/>
    <cellStyle name="Followed Hyperlink" xfId="10" builtinId="9" hidden="1"/>
    <cellStyle name="Followed Hyperlink" xfId="20" builtinId="9" hidden="1"/>
    <cellStyle name="Followed Hyperlink" xfId="11" builtinId="9" hidden="1"/>
    <cellStyle name="Followed Hyperlink" xfId="22" builtinId="9" hidden="1"/>
    <cellStyle name="Followed Hyperlink" xfId="24" builtinId="9" hidden="1"/>
    <cellStyle name="Hyperlink" xfId="4"/>
    <cellStyle name="Normal" xfId="0" builtinId="0"/>
    <cellStyle name="Normal 2" xfId="3"/>
    <cellStyle name="Normal 3" xfId="7"/>
    <cellStyle name="Percent" xfId="12" builtinId="5"/>
    <cellStyle name="Денежный 2" xfId="13"/>
    <cellStyle name="Обычный 2" xfId="1"/>
    <cellStyle name="Финансовый 2" xfId="14"/>
  </cellStyles>
  <dxfs count="57">
    <dxf>
      <fill>
        <patternFill patternType="solid">
          <fgColor rgb="FFB7E1CD"/>
          <bgColor rgb="FFB7E1CD"/>
        </patternFill>
      </fill>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i val="0"/>
        <strike val="0"/>
        <condense val="0"/>
        <extend val="0"/>
        <outline val="0"/>
        <shadow val="0"/>
        <u/>
        <vertAlign val="baseline"/>
        <sz val="12"/>
        <color rgb="FF000000"/>
        <name val="Times New Roman"/>
        <scheme val="none"/>
      </font>
      <numFmt numFmtId="170" formatCode="&quot;$&quot;#,##0.00"/>
      <alignment horizontal="general" vertical="bottom" textRotation="0" wrapText="1" indent="0" justifyLastLine="0" shrinkToFit="0" readingOrder="0"/>
      <border diagonalUp="0" diagonalDown="0" outline="0">
        <left style="dotted">
          <color rgb="FF000000"/>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style="thin">
          <color rgb="FFD9D9D9"/>
        </left>
        <right style="thin">
          <color rgb="FFD9D9D9"/>
        </right>
        <top style="thin">
          <color rgb="FFD9D9D9"/>
        </top>
        <bottom/>
      </border>
    </dxf>
    <dxf>
      <font>
        <sz val="12"/>
        <name val="Times New Roman"/>
      </font>
    </dxf>
    <dxf>
      <font>
        <b val="0"/>
        <i val="0"/>
        <strike val="0"/>
        <condense val="0"/>
        <extend val="0"/>
        <outline val="0"/>
        <shadow val="0"/>
        <u val="none"/>
        <vertAlign val="baseline"/>
        <sz val="12"/>
        <color rgb="FF000000"/>
        <name val="Times New Roman"/>
        <scheme val="none"/>
      </font>
      <alignment horizontal="general" vertical="bottom" textRotation="0" wrapText="1" indent="0" justifyLastLine="0" shrinkToFit="0" readingOrder="0"/>
      <border diagonalUp="0" diagonalDown="0" outline="0">
        <left/>
        <right style="thin">
          <color rgb="FFD9D9D9"/>
        </right>
        <top style="thin">
          <color rgb="FFD9D9D9"/>
        </top>
        <bottom/>
      </border>
    </dxf>
    <dxf>
      <font>
        <sz val="12"/>
        <name val="Times New Roman"/>
      </font>
    </dxf>
    <dxf>
      <font>
        <sz val="12"/>
        <name val="Times New Roman"/>
      </font>
    </dxf>
    <dxf>
      <font>
        <sz val="12"/>
        <name val="Times New Roman"/>
      </font>
    </dxf>
    <dxf>
      <font>
        <sz val="12"/>
        <name val="Times New Roman"/>
      </font>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EBEFF1"/>
          <bgColor rgb="FFEBEFF1"/>
        </patternFill>
      </fill>
    </dxf>
    <dxf>
      <fill>
        <patternFill patternType="solid">
          <fgColor rgb="FFFFFFFF"/>
          <bgColor rgb="FFFFFFFF"/>
        </patternFill>
      </fill>
    </dxf>
    <dxf>
      <fill>
        <patternFill patternType="solid">
          <fgColor rgb="FF78909C"/>
          <bgColor rgb="FF78909C"/>
        </patternFill>
      </fill>
    </dxf>
  </dxfs>
  <tableStyles count="1" defaultTableStyle="TableStyleMedium9" defaultPivotStyle="PivotStyleMedium7">
    <tableStyle name="IMC Year 1 -style" pivot="0" count="3">
      <tableStyleElement type="headerRow" dxfId="56"/>
      <tableStyleElement type="firstRowStripe" dxfId="55"/>
      <tableStyleElement type="secondRowStripe"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sharedStrings" Target="sharedStrings.xml"/><Relationship Id="rId47"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externalLink" Target="externalLinks/externalLink1.xml"/><Relationship Id="rId44" Type="http://schemas.openxmlformats.org/officeDocument/2006/relationships/theme" Target="theme/theme1.xml"/><Relationship Id="rId4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1" Type="http://schemas.openxmlformats.org/officeDocument/2006/relationships/image" Target="../media/image3.PN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72970</xdr:colOff>
      <xdr:row>0</xdr:row>
      <xdr:rowOff>63500</xdr:rowOff>
    </xdr:from>
    <xdr:to>
      <xdr:col>2</xdr:col>
      <xdr:colOff>4076699</xdr:colOff>
      <xdr:row>17</xdr:row>
      <xdr:rowOff>152400</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35070" y="63500"/>
          <a:ext cx="4003729" cy="354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215900</xdr:colOff>
      <xdr:row>1</xdr:row>
      <xdr:rowOff>152400</xdr:rowOff>
    </xdr:from>
    <xdr:to>
      <xdr:col>26</xdr:col>
      <xdr:colOff>624958</xdr:colOff>
      <xdr:row>40</xdr:row>
      <xdr:rowOff>38100</xdr:rowOff>
    </xdr:to>
    <xdr:pic>
      <xdr:nvPicPr>
        <xdr:cNvPr id="2" name="Picture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889000" y="355600"/>
          <a:ext cx="17236558" cy="7810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25400</xdr:colOff>
      <xdr:row>0</xdr:row>
      <xdr:rowOff>0</xdr:rowOff>
    </xdr:from>
    <xdr:to>
      <xdr:col>7</xdr:col>
      <xdr:colOff>779834</xdr:colOff>
      <xdr:row>16</xdr:row>
      <xdr:rowOff>101600</xdr:rowOff>
    </xdr:to>
    <xdr:pic>
      <xdr:nvPicPr>
        <xdr:cNvPr id="2" name="Picture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17700" y="0"/>
          <a:ext cx="4881934" cy="3390900"/>
        </a:xfrm>
        <a:prstGeom prst="rect">
          <a:avLst/>
        </a:prstGeom>
      </xdr:spPr>
    </xdr:pic>
    <xdr:clientData/>
  </xdr:twoCellAnchor>
  <xdr:twoCellAnchor editAs="oneCell">
    <xdr:from>
      <xdr:col>2</xdr:col>
      <xdr:colOff>40858</xdr:colOff>
      <xdr:row>18</xdr:row>
      <xdr:rowOff>190500</xdr:rowOff>
    </xdr:from>
    <xdr:to>
      <xdr:col>7</xdr:col>
      <xdr:colOff>790023</xdr:colOff>
      <xdr:row>37</xdr:row>
      <xdr:rowOff>38100</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933158" y="3886200"/>
          <a:ext cx="4876665" cy="3746500"/>
        </a:xfrm>
        <a:prstGeom prst="rect">
          <a:avLst/>
        </a:prstGeom>
      </xdr:spPr>
    </xdr:pic>
    <xdr:clientData/>
  </xdr:twoCellAnchor>
  <xdr:twoCellAnchor editAs="oneCell">
    <xdr:from>
      <xdr:col>10</xdr:col>
      <xdr:colOff>25400</xdr:colOff>
      <xdr:row>19</xdr:row>
      <xdr:rowOff>13808</xdr:rowOff>
    </xdr:from>
    <xdr:to>
      <xdr:col>15</xdr:col>
      <xdr:colOff>705662</xdr:colOff>
      <xdr:row>37</xdr:row>
      <xdr:rowOff>127000</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8763000" y="3874608"/>
          <a:ext cx="4909362" cy="3796192"/>
        </a:xfrm>
        <a:prstGeom prst="rect">
          <a:avLst/>
        </a:prstGeom>
      </xdr:spPr>
    </xdr:pic>
    <xdr:clientData/>
  </xdr:twoCellAnchor>
  <xdr:twoCellAnchor editAs="oneCell">
    <xdr:from>
      <xdr:col>10</xdr:col>
      <xdr:colOff>9592</xdr:colOff>
      <xdr:row>0</xdr:row>
      <xdr:rowOff>0</xdr:rowOff>
    </xdr:from>
    <xdr:to>
      <xdr:col>15</xdr:col>
      <xdr:colOff>723900</xdr:colOff>
      <xdr:row>18</xdr:row>
      <xdr:rowOff>122895</xdr:rowOff>
    </xdr:to>
    <xdr:pic>
      <xdr:nvPicPr>
        <xdr:cNvPr id="5" name="Picture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8747192" y="0"/>
          <a:ext cx="4943408" cy="3818595"/>
        </a:xfrm>
        <a:prstGeom prst="rect">
          <a:avLst/>
        </a:prstGeom>
      </xdr:spPr>
    </xdr:pic>
    <xdr:clientData/>
  </xdr:twoCellAnchor>
  <xdr:twoCellAnchor editAs="oneCell">
    <xdr:from>
      <xdr:col>2</xdr:col>
      <xdr:colOff>12700</xdr:colOff>
      <xdr:row>37</xdr:row>
      <xdr:rowOff>141011</xdr:rowOff>
    </xdr:from>
    <xdr:to>
      <xdr:col>7</xdr:col>
      <xdr:colOff>787400</xdr:colOff>
      <xdr:row>58</xdr:row>
      <xdr:rowOff>5233</xdr:rowOff>
    </xdr:to>
    <xdr:pic>
      <xdr:nvPicPr>
        <xdr:cNvPr id="6" name="Picture 5">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905000" y="7735611"/>
          <a:ext cx="4902200" cy="4169522"/>
        </a:xfrm>
        <a:prstGeom prst="rect">
          <a:avLst/>
        </a:prstGeom>
      </xdr:spPr>
    </xdr:pic>
    <xdr:clientData/>
  </xdr:twoCellAnchor>
  <xdr:twoCellAnchor editAs="oneCell">
    <xdr:from>
      <xdr:col>10</xdr:col>
      <xdr:colOff>38100</xdr:colOff>
      <xdr:row>37</xdr:row>
      <xdr:rowOff>88900</xdr:rowOff>
    </xdr:from>
    <xdr:to>
      <xdr:col>15</xdr:col>
      <xdr:colOff>792191</xdr:colOff>
      <xdr:row>56</xdr:row>
      <xdr:rowOff>76200</xdr:rowOff>
    </xdr:to>
    <xdr:pic>
      <xdr:nvPicPr>
        <xdr:cNvPr id="7" name="Picture 6">
          <a:extLst>
            <a:ext uri="{FF2B5EF4-FFF2-40B4-BE49-F238E27FC236}">
              <a16:creationId xmlns=""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8775700" y="7683500"/>
          <a:ext cx="4983191" cy="3886200"/>
        </a:xfrm>
        <a:prstGeom prst="rect">
          <a:avLst/>
        </a:prstGeom>
      </xdr:spPr>
    </xdr:pic>
    <xdr:clientData/>
  </xdr:twoCellAnchor>
  <xdr:twoCellAnchor editAs="oneCell">
    <xdr:from>
      <xdr:col>8</xdr:col>
      <xdr:colOff>0</xdr:colOff>
      <xdr:row>59</xdr:row>
      <xdr:rowOff>0</xdr:rowOff>
    </xdr:from>
    <xdr:to>
      <xdr:col>22</xdr:col>
      <xdr:colOff>701675</xdr:colOff>
      <xdr:row>93</xdr:row>
      <xdr:rowOff>82550</xdr:rowOff>
    </xdr:to>
    <xdr:pic>
      <xdr:nvPicPr>
        <xdr:cNvPr id="8" name="Picture 7">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6845300" y="11988800"/>
          <a:ext cx="12601575" cy="6991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91</xdr:row>
      <xdr:rowOff>63500</xdr:rowOff>
    </xdr:from>
    <xdr:to>
      <xdr:col>4</xdr:col>
      <xdr:colOff>939800</xdr:colOff>
      <xdr:row>105</xdr:row>
      <xdr:rowOff>101600</xdr:rowOff>
    </xdr:to>
    <xdr:pic>
      <xdr:nvPicPr>
        <xdr:cNvPr id="2" name="Picture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00100" y="18503900"/>
          <a:ext cx="5829300" cy="2882900"/>
        </a:xfrm>
        <a:prstGeom prst="rect">
          <a:avLst/>
        </a:prstGeom>
      </xdr:spPr>
    </xdr:pic>
    <xdr:clientData/>
  </xdr:twoCellAnchor>
  <xdr:twoCellAnchor editAs="oneCell">
    <xdr:from>
      <xdr:col>1</xdr:col>
      <xdr:colOff>292100</xdr:colOff>
      <xdr:row>51</xdr:row>
      <xdr:rowOff>0</xdr:rowOff>
    </xdr:from>
    <xdr:to>
      <xdr:col>4</xdr:col>
      <xdr:colOff>825500</xdr:colOff>
      <xdr:row>63</xdr:row>
      <xdr:rowOff>215900</xdr:rowOff>
    </xdr:to>
    <xdr:pic>
      <xdr:nvPicPr>
        <xdr:cNvPr id="3" name="Picture 2">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939800" y="9994900"/>
          <a:ext cx="5575300" cy="2959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1002078</xdr:colOff>
      <xdr:row>34</xdr:row>
      <xdr:rowOff>139700</xdr:rowOff>
    </xdr:from>
    <xdr:to>
      <xdr:col>18</xdr:col>
      <xdr:colOff>393700</xdr:colOff>
      <xdr:row>51</xdr:row>
      <xdr:rowOff>139700</xdr:rowOff>
    </xdr:to>
    <xdr:pic>
      <xdr:nvPicPr>
        <xdr:cNvPr id="2" name="Picture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5784878" y="9359900"/>
          <a:ext cx="6744922" cy="3695700"/>
        </a:xfrm>
        <a:prstGeom prst="rect">
          <a:avLst/>
        </a:prstGeom>
      </xdr:spPr>
    </xdr:pic>
    <xdr:clientData/>
  </xdr:twoCellAnchor>
  <xdr:twoCellAnchor editAs="oneCell">
    <xdr:from>
      <xdr:col>8</xdr:col>
      <xdr:colOff>241300</xdr:colOff>
      <xdr:row>35</xdr:row>
      <xdr:rowOff>58198</xdr:rowOff>
    </xdr:from>
    <xdr:to>
      <xdr:col>12</xdr:col>
      <xdr:colOff>927101</xdr:colOff>
      <xdr:row>51</xdr:row>
      <xdr:rowOff>190500</xdr:rowOff>
    </xdr:to>
    <xdr:pic>
      <xdr:nvPicPr>
        <xdr:cNvPr id="3" name="Picture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9131300" y="9506998"/>
          <a:ext cx="6578600" cy="35994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63500</xdr:colOff>
      <xdr:row>0</xdr:row>
      <xdr:rowOff>0</xdr:rowOff>
    </xdr:from>
    <xdr:to>
      <xdr:col>7</xdr:col>
      <xdr:colOff>708025</xdr:colOff>
      <xdr:row>17</xdr:row>
      <xdr:rowOff>174625</xdr:rowOff>
    </xdr:to>
    <xdr:pic>
      <xdr:nvPicPr>
        <xdr:cNvPr id="2" name="Picture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854200" y="0"/>
          <a:ext cx="4772025" cy="3667125"/>
        </a:xfrm>
        <a:prstGeom prst="rect">
          <a:avLst/>
        </a:prstGeom>
      </xdr:spPr>
    </xdr:pic>
    <xdr:clientData/>
  </xdr:twoCellAnchor>
  <xdr:twoCellAnchor editAs="oneCell">
    <xdr:from>
      <xdr:col>0</xdr:col>
      <xdr:colOff>0</xdr:colOff>
      <xdr:row>18</xdr:row>
      <xdr:rowOff>38100</xdr:rowOff>
    </xdr:from>
    <xdr:to>
      <xdr:col>9</xdr:col>
      <xdr:colOff>700590</xdr:colOff>
      <xdr:row>41</xdr:row>
      <xdr:rowOff>177800</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3695700"/>
          <a:ext cx="8269790" cy="4813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0</xdr:row>
      <xdr:rowOff>0</xdr:rowOff>
    </xdr:from>
    <xdr:to>
      <xdr:col>7</xdr:col>
      <xdr:colOff>741363</xdr:colOff>
      <xdr:row>18</xdr:row>
      <xdr:rowOff>66675</xdr:rowOff>
    </xdr:to>
    <xdr:pic>
      <xdr:nvPicPr>
        <xdr:cNvPr id="2" name="Picture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828800" y="0"/>
          <a:ext cx="4843463" cy="3762375"/>
        </a:xfrm>
        <a:prstGeom prst="rect">
          <a:avLst/>
        </a:prstGeom>
      </xdr:spPr>
    </xdr:pic>
    <xdr:clientData/>
  </xdr:twoCellAnchor>
  <xdr:twoCellAnchor editAs="oneCell">
    <xdr:from>
      <xdr:col>0</xdr:col>
      <xdr:colOff>10189</xdr:colOff>
      <xdr:row>19</xdr:row>
      <xdr:rowOff>38100</xdr:rowOff>
    </xdr:from>
    <xdr:to>
      <xdr:col>8</xdr:col>
      <xdr:colOff>31750</xdr:colOff>
      <xdr:row>38</xdr:row>
      <xdr:rowOff>141288</xdr:rowOff>
    </xdr:to>
    <xdr:pic>
      <xdr:nvPicPr>
        <xdr:cNvPr id="3" name="Picture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189" y="3898900"/>
          <a:ext cx="6777961" cy="39639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152400</xdr:colOff>
      <xdr:row>93</xdr:row>
      <xdr:rowOff>63500</xdr:rowOff>
    </xdr:from>
    <xdr:to>
      <xdr:col>4</xdr:col>
      <xdr:colOff>863600</xdr:colOff>
      <xdr:row>107</xdr:row>
      <xdr:rowOff>125412</xdr:rowOff>
    </xdr:to>
    <xdr:pic>
      <xdr:nvPicPr>
        <xdr:cNvPr id="2" name="Picture 1">
          <a:extLst>
            <a:ext uri="{FF2B5EF4-FFF2-40B4-BE49-F238E27FC236}">
              <a16:creationId xmlns="" xmlns:a16="http://schemas.microsoft.com/office/drawing/2014/main" id="{562F8931-91DD-41D1-8AC1-EE1B01BACBE6}"/>
            </a:ext>
          </a:extLst>
        </xdr:cNvPr>
        <xdr:cNvPicPr>
          <a:picLocks noChangeAspect="1"/>
        </xdr:cNvPicPr>
      </xdr:nvPicPr>
      <xdr:blipFill>
        <a:blip xmlns:r="http://schemas.openxmlformats.org/officeDocument/2006/relationships" r:embed="rId1"/>
        <a:stretch>
          <a:fillRect/>
        </a:stretch>
      </xdr:blipFill>
      <xdr:spPr>
        <a:xfrm>
          <a:off x="838200" y="18127663"/>
          <a:ext cx="6140450" cy="2771775"/>
        </a:xfrm>
        <a:prstGeom prst="rect">
          <a:avLst/>
        </a:prstGeom>
      </xdr:spPr>
    </xdr:pic>
    <xdr:clientData/>
  </xdr:twoCellAnchor>
  <xdr:twoCellAnchor editAs="oneCell">
    <xdr:from>
      <xdr:col>1</xdr:col>
      <xdr:colOff>292100</xdr:colOff>
      <xdr:row>53</xdr:row>
      <xdr:rowOff>0</xdr:rowOff>
    </xdr:from>
    <xdr:to>
      <xdr:col>4</xdr:col>
      <xdr:colOff>749300</xdr:colOff>
      <xdr:row>69</xdr:row>
      <xdr:rowOff>6351</xdr:rowOff>
    </xdr:to>
    <xdr:pic>
      <xdr:nvPicPr>
        <xdr:cNvPr id="3" name="Picture 2">
          <a:extLst>
            <a:ext uri="{FF2B5EF4-FFF2-40B4-BE49-F238E27FC236}">
              <a16:creationId xmlns="" xmlns:a16="http://schemas.microsoft.com/office/drawing/2014/main" id="{0676BEB9-BDCB-443F-86D8-4BFE816DAED4}"/>
            </a:ext>
          </a:extLst>
        </xdr:cNvPr>
        <xdr:cNvPicPr>
          <a:picLocks noChangeAspect="1"/>
        </xdr:cNvPicPr>
      </xdr:nvPicPr>
      <xdr:blipFill>
        <a:blip xmlns:r="http://schemas.openxmlformats.org/officeDocument/2006/relationships" r:embed="rId2"/>
        <a:stretch>
          <a:fillRect/>
        </a:stretch>
      </xdr:blipFill>
      <xdr:spPr>
        <a:xfrm>
          <a:off x="977900" y="9691688"/>
          <a:ext cx="5886450" cy="307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66322</xdr:colOff>
      <xdr:row>0</xdr:row>
      <xdr:rowOff>114535</xdr:rowOff>
    </xdr:from>
    <xdr:to>
      <xdr:col>12</xdr:col>
      <xdr:colOff>266347</xdr:colOff>
      <xdr:row>13</xdr:row>
      <xdr:rowOff>9759</xdr:rowOff>
    </xdr:to>
    <xdr:grpSp>
      <xdr:nvGrpSpPr>
        <xdr:cNvPr id="43" name="Shape 2" title="Drawing">
          <a:extLst>
            <a:ext uri="{FF2B5EF4-FFF2-40B4-BE49-F238E27FC236}">
              <a16:creationId xmlns="" xmlns:a16="http://schemas.microsoft.com/office/drawing/2014/main" id="{00000000-0008-0000-0100-000002000000}"/>
            </a:ext>
          </a:extLst>
        </xdr:cNvPr>
        <xdr:cNvGrpSpPr/>
      </xdr:nvGrpSpPr>
      <xdr:grpSpPr>
        <a:xfrm>
          <a:off x="2911122" y="114535"/>
          <a:ext cx="3400425" cy="2016124"/>
          <a:chOff x="4869750" y="1932150"/>
          <a:chExt cx="2476500" cy="1562100"/>
        </a:xfrm>
      </xdr:grpSpPr>
      <xdr:grpSp>
        <xdr:nvGrpSpPr>
          <xdr:cNvPr id="44" name="Shape 3">
            <a:extLst>
              <a:ext uri="{FF2B5EF4-FFF2-40B4-BE49-F238E27FC236}">
                <a16:creationId xmlns="" xmlns:a16="http://schemas.microsoft.com/office/drawing/2014/main" id="{00000000-0008-0000-0100-000003000000}"/>
              </a:ext>
            </a:extLst>
          </xdr:cNvPr>
          <xdr:cNvGrpSpPr/>
        </xdr:nvGrpSpPr>
        <xdr:grpSpPr>
          <a:xfrm>
            <a:off x="4869750" y="1932150"/>
            <a:ext cx="2476500" cy="1562100"/>
            <a:chOff x="225" y="14"/>
            <a:chExt cx="259" cy="174"/>
          </a:xfrm>
        </xdr:grpSpPr>
        <xdr:sp macro="" textlink="">
          <xdr:nvSpPr>
            <xdr:cNvPr id="52" name="Shape 4">
              <a:extLst>
                <a:ext uri="{FF2B5EF4-FFF2-40B4-BE49-F238E27FC236}">
                  <a16:creationId xmlns="" xmlns:a16="http://schemas.microsoft.com/office/drawing/2014/main" id="{00000000-0008-0000-0100-00000F000000}"/>
                </a:ext>
              </a:extLst>
            </xdr:cNvPr>
            <xdr:cNvSpPr/>
          </xdr:nvSpPr>
          <xdr:spPr>
            <a:xfrm>
              <a:off x="225" y="14"/>
              <a:ext cx="250" cy="150"/>
            </a:xfrm>
            <a:prstGeom prst="rect">
              <a:avLst/>
            </a:prstGeom>
            <a:noFill/>
            <a:ln>
              <a:noFill/>
            </a:ln>
          </xdr:spPr>
          <xdr:txBody>
            <a:bodyPr wrap="square" lIns="91425" tIns="91425" rIns="91425" bIns="91425" anchor="ctr" anchorCtr="0">
              <a:noAutofit/>
            </a:bodyPr>
            <a:lstStyle/>
            <a:p>
              <a:pPr lvl="0">
                <a:spcBef>
                  <a:spcPts val="0"/>
                </a:spcBef>
                <a:buNone/>
              </a:pPr>
              <a:endParaRPr sz="1400"/>
            </a:p>
          </xdr:txBody>
        </xdr:sp>
        <xdr:cxnSp macro="">
          <xdr:nvCxnSpPr>
            <xdr:cNvPr id="53" name="Shape 5">
              <a:extLst>
                <a:ext uri="{FF2B5EF4-FFF2-40B4-BE49-F238E27FC236}">
                  <a16:creationId xmlns="" xmlns:a16="http://schemas.microsoft.com/office/drawing/2014/main" id="{00000000-0008-0000-0100-000010000000}"/>
                </a:ext>
              </a:extLst>
            </xdr:cNvPr>
            <xdr:cNvCxnSpPr/>
          </xdr:nvCxnSpPr>
          <xdr:spPr>
            <a:xfrm rot="10800000" flipH="1">
              <a:off x="225" y="15"/>
              <a:ext cx="130" cy="170"/>
            </a:xfrm>
            <a:prstGeom prst="straightConnector1">
              <a:avLst/>
            </a:prstGeom>
            <a:noFill/>
            <a:ln w="9525" cap="flat" cmpd="sng">
              <a:solidFill>
                <a:srgbClr val="000000"/>
              </a:solidFill>
              <a:prstDash val="solid"/>
              <a:round/>
              <a:headEnd type="none" w="med" len="med"/>
              <a:tailEnd type="none" w="med" len="med"/>
            </a:ln>
          </xdr:spPr>
        </xdr:cxnSp>
        <xdr:cxnSp macro="">
          <xdr:nvCxnSpPr>
            <xdr:cNvPr id="54" name="Shape 6">
              <a:extLst>
                <a:ext uri="{FF2B5EF4-FFF2-40B4-BE49-F238E27FC236}">
                  <a16:creationId xmlns="" xmlns:a16="http://schemas.microsoft.com/office/drawing/2014/main" id="{00000000-0008-0000-0100-000011000000}"/>
                </a:ext>
              </a:extLst>
            </xdr:cNvPr>
            <xdr:cNvCxnSpPr/>
          </xdr:nvCxnSpPr>
          <xdr:spPr>
            <a:xfrm>
              <a:off x="356" y="14"/>
              <a:ext cx="128" cy="173"/>
            </a:xfrm>
            <a:prstGeom prst="straightConnector1">
              <a:avLst/>
            </a:prstGeom>
            <a:noFill/>
            <a:ln w="9525" cap="flat" cmpd="sng">
              <a:solidFill>
                <a:srgbClr val="000000"/>
              </a:solidFill>
              <a:prstDash val="solid"/>
              <a:round/>
              <a:headEnd type="none" w="med" len="med"/>
              <a:tailEnd type="none" w="med" len="med"/>
            </a:ln>
          </xdr:spPr>
        </xdr:cxnSp>
        <xdr:cxnSp macro="">
          <xdr:nvCxnSpPr>
            <xdr:cNvPr id="55" name="Shape 7">
              <a:extLst>
                <a:ext uri="{FF2B5EF4-FFF2-40B4-BE49-F238E27FC236}">
                  <a16:creationId xmlns="" xmlns:a16="http://schemas.microsoft.com/office/drawing/2014/main" id="{00000000-0008-0000-0100-000012000000}"/>
                </a:ext>
              </a:extLst>
            </xdr:cNvPr>
            <xdr:cNvCxnSpPr/>
          </xdr:nvCxnSpPr>
          <xdr:spPr>
            <a:xfrm rot="10800000" flipH="1">
              <a:off x="250" y="33"/>
              <a:ext cx="120" cy="155"/>
            </a:xfrm>
            <a:prstGeom prst="straightConnector1">
              <a:avLst/>
            </a:prstGeom>
            <a:noFill/>
            <a:ln w="9525" cap="flat" cmpd="sng">
              <a:solidFill>
                <a:srgbClr val="000000"/>
              </a:solidFill>
              <a:prstDash val="solid"/>
              <a:round/>
              <a:headEnd type="none" w="med" len="med"/>
              <a:tailEnd type="none" w="med" len="med"/>
            </a:ln>
          </xdr:spPr>
        </xdr:cxnSp>
        <xdr:cxnSp macro="">
          <xdr:nvCxnSpPr>
            <xdr:cNvPr id="56" name="Shape 8">
              <a:extLst>
                <a:ext uri="{FF2B5EF4-FFF2-40B4-BE49-F238E27FC236}">
                  <a16:creationId xmlns="" xmlns:a16="http://schemas.microsoft.com/office/drawing/2014/main" id="{00000000-0008-0000-0100-000013000000}"/>
                </a:ext>
              </a:extLst>
            </xdr:cNvPr>
            <xdr:cNvCxnSpPr/>
          </xdr:nvCxnSpPr>
          <xdr:spPr>
            <a:xfrm rot="10800000">
              <a:off x="236" y="171"/>
              <a:ext cx="13" cy="16"/>
            </a:xfrm>
            <a:prstGeom prst="straightConnector1">
              <a:avLst/>
            </a:prstGeom>
            <a:noFill/>
            <a:ln w="9525" cap="flat" cmpd="sng">
              <a:solidFill>
                <a:srgbClr val="000000"/>
              </a:solidFill>
              <a:prstDash val="solid"/>
              <a:round/>
              <a:headEnd type="none" w="med" len="med"/>
              <a:tailEnd type="none" w="med" len="med"/>
            </a:ln>
          </xdr:spPr>
        </xdr:cxnSp>
        <xdr:cxnSp macro="">
          <xdr:nvCxnSpPr>
            <xdr:cNvPr id="57" name="Shape 9">
              <a:extLst>
                <a:ext uri="{FF2B5EF4-FFF2-40B4-BE49-F238E27FC236}">
                  <a16:creationId xmlns="" xmlns:a16="http://schemas.microsoft.com/office/drawing/2014/main" id="{00000000-0008-0000-0100-000014000000}"/>
                </a:ext>
              </a:extLst>
            </xdr:cNvPr>
            <xdr:cNvCxnSpPr/>
          </xdr:nvCxnSpPr>
          <xdr:spPr>
            <a:xfrm rot="10800000">
              <a:off x="250" y="152"/>
              <a:ext cx="27" cy="35"/>
            </a:xfrm>
            <a:prstGeom prst="straightConnector1">
              <a:avLst/>
            </a:prstGeom>
            <a:noFill/>
            <a:ln w="9525" cap="flat" cmpd="sng">
              <a:solidFill>
                <a:srgbClr val="000000"/>
              </a:solidFill>
              <a:prstDash val="solid"/>
              <a:round/>
              <a:headEnd type="none" w="med" len="med"/>
              <a:tailEnd type="none" w="med" len="med"/>
            </a:ln>
          </xdr:spPr>
        </xdr:cxnSp>
        <xdr:cxnSp macro="">
          <xdr:nvCxnSpPr>
            <xdr:cNvPr id="58" name="Shape 10">
              <a:extLst>
                <a:ext uri="{FF2B5EF4-FFF2-40B4-BE49-F238E27FC236}">
                  <a16:creationId xmlns="" xmlns:a16="http://schemas.microsoft.com/office/drawing/2014/main" id="{00000000-0008-0000-0100-000015000000}"/>
                </a:ext>
              </a:extLst>
            </xdr:cNvPr>
            <xdr:cNvCxnSpPr/>
          </xdr:nvCxnSpPr>
          <xdr:spPr>
            <a:xfrm rot="10800000">
              <a:off x="262" y="134"/>
              <a:ext cx="39" cy="52"/>
            </a:xfrm>
            <a:prstGeom prst="straightConnector1">
              <a:avLst/>
            </a:prstGeom>
            <a:noFill/>
            <a:ln w="9525" cap="flat" cmpd="sng">
              <a:solidFill>
                <a:srgbClr val="000000"/>
              </a:solidFill>
              <a:prstDash val="solid"/>
              <a:round/>
              <a:headEnd type="none" w="med" len="med"/>
              <a:tailEnd type="none" w="med" len="med"/>
            </a:ln>
          </xdr:spPr>
        </xdr:cxnSp>
        <xdr:cxnSp macro="">
          <xdr:nvCxnSpPr>
            <xdr:cNvPr id="59" name="Shape 11">
              <a:extLst>
                <a:ext uri="{FF2B5EF4-FFF2-40B4-BE49-F238E27FC236}">
                  <a16:creationId xmlns="" xmlns:a16="http://schemas.microsoft.com/office/drawing/2014/main" id="{00000000-0008-0000-0100-000016000000}"/>
                </a:ext>
              </a:extLst>
            </xdr:cNvPr>
            <xdr:cNvCxnSpPr/>
          </xdr:nvCxnSpPr>
          <xdr:spPr>
            <a:xfrm rot="10800000">
              <a:off x="276" y="118"/>
              <a:ext cx="51" cy="68"/>
            </a:xfrm>
            <a:prstGeom prst="straightConnector1">
              <a:avLst/>
            </a:prstGeom>
            <a:noFill/>
            <a:ln w="9525" cap="flat" cmpd="sng">
              <a:solidFill>
                <a:srgbClr val="000000"/>
              </a:solidFill>
              <a:prstDash val="solid"/>
              <a:round/>
              <a:headEnd type="none" w="med" len="med"/>
              <a:tailEnd type="none" w="med" len="med"/>
            </a:ln>
          </xdr:spPr>
        </xdr:cxnSp>
        <xdr:cxnSp macro="">
          <xdr:nvCxnSpPr>
            <xdr:cNvPr id="60" name="Shape 12">
              <a:extLst>
                <a:ext uri="{FF2B5EF4-FFF2-40B4-BE49-F238E27FC236}">
                  <a16:creationId xmlns="" xmlns:a16="http://schemas.microsoft.com/office/drawing/2014/main" id="{00000000-0008-0000-0100-000017000000}"/>
                </a:ext>
              </a:extLst>
            </xdr:cNvPr>
            <xdr:cNvCxnSpPr/>
          </xdr:nvCxnSpPr>
          <xdr:spPr>
            <a:xfrm rot="10800000">
              <a:off x="289" y="103"/>
              <a:ext cx="66" cy="85"/>
            </a:xfrm>
            <a:prstGeom prst="straightConnector1">
              <a:avLst/>
            </a:prstGeom>
            <a:noFill/>
            <a:ln w="9525" cap="flat" cmpd="sng">
              <a:solidFill>
                <a:srgbClr val="000000"/>
              </a:solidFill>
              <a:prstDash val="solid"/>
              <a:round/>
              <a:headEnd type="none" w="med" len="med"/>
              <a:tailEnd type="none" w="med" len="med"/>
            </a:ln>
          </xdr:spPr>
        </xdr:cxnSp>
        <xdr:cxnSp macro="">
          <xdr:nvCxnSpPr>
            <xdr:cNvPr id="61" name="Shape 13">
              <a:extLst>
                <a:ext uri="{FF2B5EF4-FFF2-40B4-BE49-F238E27FC236}">
                  <a16:creationId xmlns="" xmlns:a16="http://schemas.microsoft.com/office/drawing/2014/main" id="{00000000-0008-0000-0100-000018000000}"/>
                </a:ext>
              </a:extLst>
            </xdr:cNvPr>
            <xdr:cNvCxnSpPr/>
          </xdr:nvCxnSpPr>
          <xdr:spPr>
            <a:xfrm rot="10800000">
              <a:off x="301" y="83"/>
              <a:ext cx="79" cy="103"/>
            </a:xfrm>
            <a:prstGeom prst="straightConnector1">
              <a:avLst/>
            </a:prstGeom>
            <a:noFill/>
            <a:ln w="9525" cap="flat" cmpd="sng">
              <a:solidFill>
                <a:srgbClr val="000000"/>
              </a:solidFill>
              <a:prstDash val="solid"/>
              <a:round/>
              <a:headEnd type="none" w="med" len="med"/>
              <a:tailEnd type="none" w="med" len="med"/>
            </a:ln>
          </xdr:spPr>
        </xdr:cxnSp>
        <xdr:cxnSp macro="">
          <xdr:nvCxnSpPr>
            <xdr:cNvPr id="62" name="Shape 14">
              <a:extLst>
                <a:ext uri="{FF2B5EF4-FFF2-40B4-BE49-F238E27FC236}">
                  <a16:creationId xmlns="" xmlns:a16="http://schemas.microsoft.com/office/drawing/2014/main" id="{00000000-0008-0000-0100-000019000000}"/>
                </a:ext>
              </a:extLst>
            </xdr:cNvPr>
            <xdr:cNvCxnSpPr/>
          </xdr:nvCxnSpPr>
          <xdr:spPr>
            <a:xfrm rot="10800000">
              <a:off x="314" y="67"/>
              <a:ext cx="91" cy="120"/>
            </a:xfrm>
            <a:prstGeom prst="straightConnector1">
              <a:avLst/>
            </a:prstGeom>
            <a:noFill/>
            <a:ln w="9525" cap="flat" cmpd="sng">
              <a:solidFill>
                <a:srgbClr val="000000"/>
              </a:solidFill>
              <a:prstDash val="solid"/>
              <a:round/>
              <a:headEnd type="none" w="med" len="med"/>
              <a:tailEnd type="none" w="med" len="med"/>
            </a:ln>
          </xdr:spPr>
        </xdr:cxnSp>
        <xdr:cxnSp macro="">
          <xdr:nvCxnSpPr>
            <xdr:cNvPr id="63" name="Shape 15">
              <a:extLst>
                <a:ext uri="{FF2B5EF4-FFF2-40B4-BE49-F238E27FC236}">
                  <a16:creationId xmlns="" xmlns:a16="http://schemas.microsoft.com/office/drawing/2014/main" id="{00000000-0008-0000-0100-00001A000000}"/>
                </a:ext>
              </a:extLst>
            </xdr:cNvPr>
            <xdr:cNvCxnSpPr/>
          </xdr:nvCxnSpPr>
          <xdr:spPr>
            <a:xfrm rot="10800000">
              <a:off x="328" y="49"/>
              <a:ext cx="104" cy="138"/>
            </a:xfrm>
            <a:prstGeom prst="straightConnector1">
              <a:avLst/>
            </a:prstGeom>
            <a:noFill/>
            <a:ln w="9525" cap="flat" cmpd="sng">
              <a:solidFill>
                <a:srgbClr val="000000"/>
              </a:solidFill>
              <a:prstDash val="solid"/>
              <a:round/>
              <a:headEnd type="none" w="med" len="med"/>
              <a:tailEnd type="none" w="med" len="med"/>
            </a:ln>
          </xdr:spPr>
        </xdr:cxnSp>
        <xdr:cxnSp macro="">
          <xdr:nvCxnSpPr>
            <xdr:cNvPr id="64" name="Shape 16">
              <a:extLst>
                <a:ext uri="{FF2B5EF4-FFF2-40B4-BE49-F238E27FC236}">
                  <a16:creationId xmlns="" xmlns:a16="http://schemas.microsoft.com/office/drawing/2014/main" id="{00000000-0008-0000-0100-00001B000000}"/>
                </a:ext>
              </a:extLst>
            </xdr:cNvPr>
            <xdr:cNvCxnSpPr/>
          </xdr:nvCxnSpPr>
          <xdr:spPr>
            <a:xfrm rot="10800000">
              <a:off x="341" y="33"/>
              <a:ext cx="116" cy="153"/>
            </a:xfrm>
            <a:prstGeom prst="straightConnector1">
              <a:avLst/>
            </a:prstGeom>
            <a:noFill/>
            <a:ln w="9525" cap="flat" cmpd="sng">
              <a:solidFill>
                <a:srgbClr val="000000"/>
              </a:solidFill>
              <a:prstDash val="solid"/>
              <a:round/>
              <a:headEnd type="none" w="med" len="med"/>
              <a:tailEnd type="none" w="med" len="med"/>
            </a:ln>
          </xdr:spPr>
        </xdr:cxnSp>
        <xdr:cxnSp macro="">
          <xdr:nvCxnSpPr>
            <xdr:cNvPr id="65" name="Shape 17">
              <a:extLst>
                <a:ext uri="{FF2B5EF4-FFF2-40B4-BE49-F238E27FC236}">
                  <a16:creationId xmlns="" xmlns:a16="http://schemas.microsoft.com/office/drawing/2014/main" id="{00000000-0008-0000-0100-00001C000000}"/>
                </a:ext>
              </a:extLst>
            </xdr:cNvPr>
            <xdr:cNvCxnSpPr/>
          </xdr:nvCxnSpPr>
          <xdr:spPr>
            <a:xfrm rot="10800000" flipH="1">
              <a:off x="276" y="51"/>
              <a:ext cx="105" cy="136"/>
            </a:xfrm>
            <a:prstGeom prst="straightConnector1">
              <a:avLst/>
            </a:prstGeom>
            <a:noFill/>
            <a:ln w="9525" cap="flat" cmpd="sng">
              <a:solidFill>
                <a:srgbClr val="000000"/>
              </a:solidFill>
              <a:prstDash val="solid"/>
              <a:round/>
              <a:headEnd type="none" w="med" len="med"/>
              <a:tailEnd type="none" w="med" len="med"/>
            </a:ln>
          </xdr:spPr>
        </xdr:cxnSp>
        <xdr:cxnSp macro="">
          <xdr:nvCxnSpPr>
            <xdr:cNvPr id="66" name="Shape 18">
              <a:extLst>
                <a:ext uri="{FF2B5EF4-FFF2-40B4-BE49-F238E27FC236}">
                  <a16:creationId xmlns="" xmlns:a16="http://schemas.microsoft.com/office/drawing/2014/main" id="{00000000-0008-0000-0100-00001D000000}"/>
                </a:ext>
              </a:extLst>
            </xdr:cNvPr>
            <xdr:cNvCxnSpPr/>
          </xdr:nvCxnSpPr>
          <xdr:spPr>
            <a:xfrm rot="10800000" flipH="1">
              <a:off x="303" y="68"/>
              <a:ext cx="93" cy="120"/>
            </a:xfrm>
            <a:prstGeom prst="straightConnector1">
              <a:avLst/>
            </a:prstGeom>
            <a:noFill/>
            <a:ln w="9525" cap="flat" cmpd="sng">
              <a:solidFill>
                <a:srgbClr val="000000"/>
              </a:solidFill>
              <a:prstDash val="solid"/>
              <a:round/>
              <a:headEnd type="none" w="med" len="med"/>
              <a:tailEnd type="none" w="med" len="med"/>
            </a:ln>
          </xdr:spPr>
        </xdr:cxnSp>
        <xdr:cxnSp macro="">
          <xdr:nvCxnSpPr>
            <xdr:cNvPr id="67" name="Shape 19">
              <a:extLst>
                <a:ext uri="{FF2B5EF4-FFF2-40B4-BE49-F238E27FC236}">
                  <a16:creationId xmlns="" xmlns:a16="http://schemas.microsoft.com/office/drawing/2014/main" id="{00000000-0008-0000-0100-00001E000000}"/>
                </a:ext>
              </a:extLst>
            </xdr:cNvPr>
            <xdr:cNvCxnSpPr/>
          </xdr:nvCxnSpPr>
          <xdr:spPr>
            <a:xfrm rot="10800000" flipH="1">
              <a:off x="328" y="84"/>
              <a:ext cx="79" cy="102"/>
            </a:xfrm>
            <a:prstGeom prst="straightConnector1">
              <a:avLst/>
            </a:prstGeom>
            <a:noFill/>
            <a:ln w="9525" cap="flat" cmpd="sng">
              <a:solidFill>
                <a:srgbClr val="000000"/>
              </a:solidFill>
              <a:prstDash val="solid"/>
              <a:round/>
              <a:headEnd type="none" w="med" len="med"/>
              <a:tailEnd type="none" w="med" len="med"/>
            </a:ln>
          </xdr:spPr>
        </xdr:cxnSp>
        <xdr:cxnSp macro="">
          <xdr:nvCxnSpPr>
            <xdr:cNvPr id="68" name="Shape 20">
              <a:extLst>
                <a:ext uri="{FF2B5EF4-FFF2-40B4-BE49-F238E27FC236}">
                  <a16:creationId xmlns="" xmlns:a16="http://schemas.microsoft.com/office/drawing/2014/main" id="{00000000-0008-0000-0100-00001F000000}"/>
                </a:ext>
              </a:extLst>
            </xdr:cNvPr>
            <xdr:cNvCxnSpPr/>
          </xdr:nvCxnSpPr>
          <xdr:spPr>
            <a:xfrm rot="10800000" flipH="1">
              <a:off x="354" y="102"/>
              <a:ext cx="67" cy="84"/>
            </a:xfrm>
            <a:prstGeom prst="straightConnector1">
              <a:avLst/>
            </a:prstGeom>
            <a:noFill/>
            <a:ln w="9525" cap="flat" cmpd="sng">
              <a:solidFill>
                <a:srgbClr val="000000"/>
              </a:solidFill>
              <a:prstDash val="solid"/>
              <a:round/>
              <a:headEnd type="none" w="med" len="med"/>
              <a:tailEnd type="none" w="med" len="med"/>
            </a:ln>
          </xdr:spPr>
        </xdr:cxnSp>
        <xdr:cxnSp macro="">
          <xdr:nvCxnSpPr>
            <xdr:cNvPr id="69" name="Shape 21">
              <a:extLst>
                <a:ext uri="{FF2B5EF4-FFF2-40B4-BE49-F238E27FC236}">
                  <a16:creationId xmlns="" xmlns:a16="http://schemas.microsoft.com/office/drawing/2014/main" id="{00000000-0008-0000-0100-000020000000}"/>
                </a:ext>
              </a:extLst>
            </xdr:cNvPr>
            <xdr:cNvCxnSpPr/>
          </xdr:nvCxnSpPr>
          <xdr:spPr>
            <a:xfrm rot="10800000" flipH="1">
              <a:off x="380" y="118"/>
              <a:ext cx="53" cy="69"/>
            </a:xfrm>
            <a:prstGeom prst="straightConnector1">
              <a:avLst/>
            </a:prstGeom>
            <a:noFill/>
            <a:ln w="9525" cap="flat" cmpd="sng">
              <a:solidFill>
                <a:srgbClr val="000000"/>
              </a:solidFill>
              <a:prstDash val="solid"/>
              <a:round/>
              <a:headEnd type="none" w="med" len="med"/>
              <a:tailEnd type="none" w="med" len="med"/>
            </a:ln>
          </xdr:spPr>
        </xdr:cxnSp>
        <xdr:cxnSp macro="">
          <xdr:nvCxnSpPr>
            <xdr:cNvPr id="70" name="Shape 22">
              <a:extLst>
                <a:ext uri="{FF2B5EF4-FFF2-40B4-BE49-F238E27FC236}">
                  <a16:creationId xmlns="" xmlns:a16="http://schemas.microsoft.com/office/drawing/2014/main" id="{00000000-0008-0000-0100-000021000000}"/>
                </a:ext>
              </a:extLst>
            </xdr:cNvPr>
            <xdr:cNvCxnSpPr/>
          </xdr:nvCxnSpPr>
          <xdr:spPr>
            <a:xfrm rot="10800000" flipH="1">
              <a:off x="406" y="135"/>
              <a:ext cx="39" cy="53"/>
            </a:xfrm>
            <a:prstGeom prst="straightConnector1">
              <a:avLst/>
            </a:prstGeom>
            <a:noFill/>
            <a:ln w="9525" cap="flat" cmpd="sng">
              <a:solidFill>
                <a:srgbClr val="000000"/>
              </a:solidFill>
              <a:prstDash val="solid"/>
              <a:round/>
              <a:headEnd type="none" w="med" len="med"/>
              <a:tailEnd type="none" w="med" len="med"/>
            </a:ln>
          </xdr:spPr>
        </xdr:cxnSp>
        <xdr:cxnSp macro="">
          <xdr:nvCxnSpPr>
            <xdr:cNvPr id="71" name="Shape 23">
              <a:extLst>
                <a:ext uri="{FF2B5EF4-FFF2-40B4-BE49-F238E27FC236}">
                  <a16:creationId xmlns="" xmlns:a16="http://schemas.microsoft.com/office/drawing/2014/main" id="{00000000-0008-0000-0100-000022000000}"/>
                </a:ext>
              </a:extLst>
            </xdr:cNvPr>
            <xdr:cNvCxnSpPr/>
          </xdr:nvCxnSpPr>
          <xdr:spPr>
            <a:xfrm rot="10800000" flipH="1">
              <a:off x="432" y="152"/>
              <a:ext cx="26" cy="34"/>
            </a:xfrm>
            <a:prstGeom prst="straightConnector1">
              <a:avLst/>
            </a:prstGeom>
            <a:noFill/>
            <a:ln w="9525" cap="flat" cmpd="sng">
              <a:solidFill>
                <a:srgbClr val="000000"/>
              </a:solidFill>
              <a:prstDash val="solid"/>
              <a:round/>
              <a:headEnd type="none" w="med" len="med"/>
              <a:tailEnd type="none" w="med" len="med"/>
            </a:ln>
          </xdr:spPr>
        </xdr:cxnSp>
        <xdr:cxnSp macro="">
          <xdr:nvCxnSpPr>
            <xdr:cNvPr id="72" name="Shape 24">
              <a:extLst>
                <a:ext uri="{FF2B5EF4-FFF2-40B4-BE49-F238E27FC236}">
                  <a16:creationId xmlns="" xmlns:a16="http://schemas.microsoft.com/office/drawing/2014/main" id="{00000000-0008-0000-0100-000023000000}"/>
                </a:ext>
              </a:extLst>
            </xdr:cNvPr>
            <xdr:cNvCxnSpPr/>
          </xdr:nvCxnSpPr>
          <xdr:spPr>
            <a:xfrm rot="10800000" flipH="1">
              <a:off x="458" y="170"/>
              <a:ext cx="14" cy="17"/>
            </a:xfrm>
            <a:prstGeom prst="straightConnector1">
              <a:avLst/>
            </a:prstGeom>
            <a:noFill/>
            <a:ln w="9525" cap="flat" cmpd="sng">
              <a:solidFill>
                <a:srgbClr val="000000"/>
              </a:solidFill>
              <a:prstDash val="solid"/>
              <a:round/>
              <a:headEnd type="none" w="med" len="med"/>
              <a:tailEnd type="none" w="med" len="med"/>
            </a:ln>
          </xdr:spPr>
        </xdr:cxnSp>
      </xdr:grpSp>
      <xdr:sp macro="" textlink="">
        <xdr:nvSpPr>
          <xdr:cNvPr id="45" name="Shape 25">
            <a:extLst>
              <a:ext uri="{FF2B5EF4-FFF2-40B4-BE49-F238E27FC236}">
                <a16:creationId xmlns="" xmlns:a16="http://schemas.microsoft.com/office/drawing/2014/main" id="{00000000-0008-0000-0100-000004000000}"/>
              </a:ext>
            </a:extLst>
          </xdr:cNvPr>
          <xdr:cNvSpPr txBox="1"/>
        </xdr:nvSpPr>
        <xdr:spPr>
          <a:xfrm>
            <a:off x="4985350" y="2105075"/>
            <a:ext cx="253800" cy="187200"/>
          </a:xfrm>
          <a:prstGeom prst="rect">
            <a:avLst/>
          </a:prstGeom>
          <a:noFill/>
          <a:ln>
            <a:noFill/>
          </a:ln>
        </xdr:spPr>
        <xdr:txBody>
          <a:bodyPr wrap="square" lIns="91425" tIns="91425" rIns="91425" bIns="91425" anchor="t" anchorCtr="0">
            <a:noAutofit/>
          </a:bodyPr>
          <a:lstStyle/>
          <a:p>
            <a:pPr lvl="0" algn="l">
              <a:spcBef>
                <a:spcPts val="0"/>
              </a:spcBef>
              <a:buNone/>
            </a:pPr>
            <a:endParaRPr sz="1400"/>
          </a:p>
        </xdr:txBody>
      </xdr:sp>
      <xdr:sp macro="" textlink="">
        <xdr:nvSpPr>
          <xdr:cNvPr id="46" name="Shape 26">
            <a:extLst>
              <a:ext uri="{FF2B5EF4-FFF2-40B4-BE49-F238E27FC236}">
                <a16:creationId xmlns="" xmlns:a16="http://schemas.microsoft.com/office/drawing/2014/main" id="{00000000-0008-0000-0100-000005000000}"/>
              </a:ext>
            </a:extLst>
          </xdr:cNvPr>
          <xdr:cNvSpPr txBox="1"/>
        </xdr:nvSpPr>
        <xdr:spPr>
          <a:xfrm>
            <a:off x="4972942" y="3182100"/>
            <a:ext cx="349200" cy="269700"/>
          </a:xfrm>
          <a:prstGeom prst="rect">
            <a:avLst/>
          </a:prstGeom>
          <a:noFill/>
          <a:ln>
            <a:noFill/>
          </a:ln>
        </xdr:spPr>
        <xdr:txBody>
          <a:bodyPr wrap="square" lIns="91425" tIns="91425" rIns="91425" bIns="91425" anchor="t" anchorCtr="0">
            <a:noAutofit/>
          </a:bodyPr>
          <a:lstStyle/>
          <a:p>
            <a:pPr lvl="0" algn="l" rtl="0">
              <a:spcBef>
                <a:spcPts val="0"/>
              </a:spcBef>
              <a:buNone/>
            </a:pPr>
            <a:r>
              <a:rPr lang="en-US" sz="1100"/>
              <a:t>++</a:t>
            </a:r>
          </a:p>
          <a:p>
            <a:pPr lvl="0" algn="l" rtl="0">
              <a:spcBef>
                <a:spcPts val="0"/>
              </a:spcBef>
              <a:buNone/>
            </a:pPr>
            <a:endParaRPr sz="1100"/>
          </a:p>
          <a:p>
            <a:pPr lvl="0" algn="l">
              <a:spcBef>
                <a:spcPts val="0"/>
              </a:spcBef>
              <a:buNone/>
            </a:pPr>
            <a:endParaRPr sz="1100"/>
          </a:p>
        </xdr:txBody>
      </xdr:sp>
      <xdr:sp macro="" textlink="">
        <xdr:nvSpPr>
          <xdr:cNvPr id="47" name="Shape 27">
            <a:extLst>
              <a:ext uri="{FF2B5EF4-FFF2-40B4-BE49-F238E27FC236}">
                <a16:creationId xmlns="" xmlns:a16="http://schemas.microsoft.com/office/drawing/2014/main" id="{00000000-0008-0000-0100-000006000000}"/>
              </a:ext>
            </a:extLst>
          </xdr:cNvPr>
          <xdr:cNvSpPr txBox="1"/>
        </xdr:nvSpPr>
        <xdr:spPr>
          <a:xfrm>
            <a:off x="5239150" y="3182100"/>
            <a:ext cx="349200" cy="269700"/>
          </a:xfrm>
          <a:prstGeom prst="rect">
            <a:avLst/>
          </a:prstGeom>
          <a:noFill/>
          <a:ln>
            <a:noFill/>
          </a:ln>
        </xdr:spPr>
        <xdr:txBody>
          <a:bodyPr wrap="square" lIns="91425" tIns="91425" rIns="91425" bIns="91425" anchor="t" anchorCtr="0">
            <a:noAutofit/>
          </a:bodyPr>
          <a:lstStyle/>
          <a:p>
            <a:pPr lvl="0" algn="l">
              <a:spcBef>
                <a:spcPts val="0"/>
              </a:spcBef>
              <a:buNone/>
            </a:pPr>
            <a:endParaRPr sz="1100"/>
          </a:p>
        </xdr:txBody>
      </xdr:sp>
      <xdr:sp macro="" textlink="">
        <xdr:nvSpPr>
          <xdr:cNvPr id="48" name="Shape 28">
            <a:extLst>
              <a:ext uri="{FF2B5EF4-FFF2-40B4-BE49-F238E27FC236}">
                <a16:creationId xmlns="" xmlns:a16="http://schemas.microsoft.com/office/drawing/2014/main" id="{00000000-0008-0000-0100-000007000000}"/>
              </a:ext>
            </a:extLst>
          </xdr:cNvPr>
          <xdr:cNvSpPr txBox="1"/>
        </xdr:nvSpPr>
        <xdr:spPr>
          <a:xfrm>
            <a:off x="5773235" y="3190558"/>
            <a:ext cx="475200" cy="269700"/>
          </a:xfrm>
          <a:prstGeom prst="rect">
            <a:avLst/>
          </a:prstGeom>
          <a:noFill/>
          <a:ln>
            <a:noFill/>
          </a:ln>
        </xdr:spPr>
        <xdr:txBody>
          <a:bodyPr wrap="square" lIns="91425" tIns="91425" rIns="91425" bIns="91425" anchor="t" anchorCtr="0">
            <a:noAutofit/>
          </a:bodyPr>
          <a:lstStyle/>
          <a:p>
            <a:pPr lvl="0" algn="l" rtl="0">
              <a:spcBef>
                <a:spcPts val="0"/>
              </a:spcBef>
              <a:buNone/>
            </a:pPr>
            <a:r>
              <a:rPr lang="en-US" sz="1100"/>
              <a:t>&lt;</a:t>
            </a:r>
          </a:p>
          <a:p>
            <a:pPr lvl="0" algn="l" rtl="0">
              <a:spcBef>
                <a:spcPts val="0"/>
              </a:spcBef>
              <a:buNone/>
            </a:pPr>
            <a:endParaRPr lang="en-US" sz="1100"/>
          </a:p>
        </xdr:txBody>
      </xdr:sp>
      <xdr:sp macro="" textlink="">
        <xdr:nvSpPr>
          <xdr:cNvPr id="49" name="Shape 29">
            <a:extLst>
              <a:ext uri="{FF2B5EF4-FFF2-40B4-BE49-F238E27FC236}">
                <a16:creationId xmlns="" xmlns:a16="http://schemas.microsoft.com/office/drawing/2014/main" id="{00000000-0008-0000-0100-000008000000}"/>
              </a:ext>
            </a:extLst>
          </xdr:cNvPr>
          <xdr:cNvSpPr txBox="1"/>
        </xdr:nvSpPr>
        <xdr:spPr>
          <a:xfrm rot="10587305" flipV="1">
            <a:off x="6013485" y="2890194"/>
            <a:ext cx="343104" cy="309102"/>
          </a:xfrm>
          <a:prstGeom prst="rect">
            <a:avLst/>
          </a:prstGeom>
          <a:noFill/>
          <a:ln>
            <a:noFill/>
          </a:ln>
        </xdr:spPr>
        <xdr:txBody>
          <a:bodyPr wrap="square" lIns="91425" tIns="91425" rIns="91425" bIns="91425" anchor="t" anchorCtr="0">
            <a:noAutofit/>
          </a:bodyPr>
          <a:lstStyle/>
          <a:p>
            <a:pPr lvl="0" algn="l" rtl="0">
              <a:spcBef>
                <a:spcPts val="0"/>
              </a:spcBef>
              <a:buNone/>
            </a:pPr>
            <a:r>
              <a:rPr lang="en-US" sz="1100"/>
              <a:t>&lt;&lt;</a:t>
            </a:r>
          </a:p>
        </xdr:txBody>
      </xdr:sp>
      <xdr:sp macro="" textlink="">
        <xdr:nvSpPr>
          <xdr:cNvPr id="50" name="Shape 30">
            <a:extLst>
              <a:ext uri="{FF2B5EF4-FFF2-40B4-BE49-F238E27FC236}">
                <a16:creationId xmlns="" xmlns:a16="http://schemas.microsoft.com/office/drawing/2014/main" id="{00000000-0008-0000-0100-000009000000}"/>
              </a:ext>
            </a:extLst>
          </xdr:cNvPr>
          <xdr:cNvSpPr txBox="1"/>
        </xdr:nvSpPr>
        <xdr:spPr>
          <a:xfrm>
            <a:off x="5085411" y="2893983"/>
            <a:ext cx="585900" cy="269700"/>
          </a:xfrm>
          <a:prstGeom prst="rect">
            <a:avLst/>
          </a:prstGeom>
          <a:noFill/>
          <a:ln>
            <a:noFill/>
          </a:ln>
        </xdr:spPr>
        <xdr:txBody>
          <a:bodyPr wrap="square" lIns="91425" tIns="91425" rIns="91425" bIns="91425" anchor="t" anchorCtr="0">
            <a:noAutofit/>
          </a:bodyPr>
          <a:lstStyle/>
          <a:p>
            <a:pPr lvl="0" algn="l" rtl="0">
              <a:spcBef>
                <a:spcPts val="0"/>
              </a:spcBef>
              <a:buNone/>
            </a:pPr>
            <a:r>
              <a:rPr lang="en-US" sz="1100"/>
              <a:t>        &lt;</a:t>
            </a:r>
          </a:p>
        </xdr:txBody>
      </xdr:sp>
      <xdr:sp macro="" textlink="">
        <xdr:nvSpPr>
          <xdr:cNvPr id="51" name="Shape 35">
            <a:extLst>
              <a:ext uri="{FF2B5EF4-FFF2-40B4-BE49-F238E27FC236}">
                <a16:creationId xmlns="" xmlns:a16="http://schemas.microsoft.com/office/drawing/2014/main" id="{00000000-0008-0000-0100-00000E000000}"/>
              </a:ext>
            </a:extLst>
          </xdr:cNvPr>
          <xdr:cNvSpPr txBox="1"/>
        </xdr:nvSpPr>
        <xdr:spPr>
          <a:xfrm>
            <a:off x="5499730" y="3189475"/>
            <a:ext cx="267340" cy="178870"/>
          </a:xfrm>
          <a:prstGeom prst="rect">
            <a:avLst/>
          </a:prstGeom>
          <a:noFill/>
          <a:ln>
            <a:noFill/>
          </a:ln>
        </xdr:spPr>
        <xdr:txBody>
          <a:bodyPr wrap="square" lIns="91425" tIns="91425" rIns="91425" bIns="91425" anchor="t" anchorCtr="0">
            <a:noAutofit/>
          </a:bodyPr>
          <a:lstStyle/>
          <a:p>
            <a:pPr lvl="0" algn="l" rtl="0">
              <a:spcBef>
                <a:spcPts val="0"/>
              </a:spcBef>
              <a:buNone/>
            </a:pPr>
            <a:r>
              <a:rPr lang="en-US" sz="1100"/>
              <a:t>&lt;&lt;</a:t>
            </a:r>
          </a:p>
        </xdr:txBody>
      </xdr:sp>
    </xdr:grpSp>
    <xdr:clientData fLocksWithSheet="0"/>
  </xdr:twoCellAnchor>
  <xdr:twoCellAnchor>
    <xdr:from>
      <xdr:col>1</xdr:col>
      <xdr:colOff>114300</xdr:colOff>
      <xdr:row>2</xdr:row>
      <xdr:rowOff>104775</xdr:rowOff>
    </xdr:from>
    <xdr:to>
      <xdr:col>1</xdr:col>
      <xdr:colOff>1619250</xdr:colOff>
      <xdr:row>10</xdr:row>
      <xdr:rowOff>85725</xdr:rowOff>
    </xdr:to>
    <xdr:sp macro="" textlink="">
      <xdr:nvSpPr>
        <xdr:cNvPr id="73" name="Shape 36">
          <a:extLst>
            <a:ext uri="{FF2B5EF4-FFF2-40B4-BE49-F238E27FC236}">
              <a16:creationId xmlns="" xmlns:a16="http://schemas.microsoft.com/office/drawing/2014/main" id="{00000000-0008-0000-0100-000024000000}"/>
            </a:ext>
          </a:extLst>
        </xdr:cNvPr>
        <xdr:cNvSpPr txBox="1"/>
      </xdr:nvSpPr>
      <xdr:spPr>
        <a:xfrm>
          <a:off x="330200" y="409575"/>
          <a:ext cx="1504950" cy="1200150"/>
        </a:xfrm>
        <a:prstGeom prst="rect">
          <a:avLst/>
        </a:prstGeom>
        <a:solidFill>
          <a:srgbClr val="FFFFFF"/>
        </a:solidFill>
        <a:ln w="9525" cap="flat" cmpd="sng">
          <a:solidFill>
            <a:srgbClr val="000000"/>
          </a:solidFill>
          <a:prstDash val="solid"/>
          <a:miter lim="800000"/>
          <a:headEnd type="none" w="med" len="med"/>
          <a:tailEnd type="none" w="med" len="med"/>
        </a:ln>
      </xdr:spPr>
      <xdr:txBody>
        <a:bodyPr wrap="square" lIns="36575" tIns="27425" rIns="0" bIns="0" anchor="t" anchorCtr="0">
          <a:noAutofit/>
        </a:bodyPr>
        <a:lstStyle/>
        <a:p>
          <a:pPr lvl="0" indent="0" algn="l" rtl="0">
            <a:spcBef>
              <a:spcPts val="0"/>
            </a:spcBef>
            <a:buSzPct val="25000"/>
            <a:buNone/>
          </a:pPr>
          <a:r>
            <a:rPr lang="en-US" sz="1200" b="1" i="0" u="sng" strike="noStrike">
              <a:solidFill>
                <a:srgbClr val="000000"/>
              </a:solidFill>
              <a:latin typeface="Arial"/>
              <a:ea typeface="Arial"/>
              <a:cs typeface="Arial"/>
              <a:sym typeface="Arial"/>
            </a:rPr>
            <a:t>Relationships</a:t>
          </a:r>
        </a:p>
        <a:p>
          <a:pPr lvl="0" indent="0" algn="l" rtl="0">
            <a:spcBef>
              <a:spcPts val="0"/>
            </a:spcBef>
            <a:buNone/>
          </a:pPr>
          <a:endParaRPr sz="1200" b="0" i="0" strike="noStrike">
            <a:solidFill>
              <a:srgbClr val="000000"/>
            </a:solidFill>
            <a:latin typeface="Arial"/>
            <a:ea typeface="Arial"/>
            <a:cs typeface="Arial"/>
            <a:sym typeface="Arial"/>
          </a:endParaRPr>
        </a:p>
        <a:p>
          <a:pPr lvl="0" indent="0" algn="l" rtl="0">
            <a:spcBef>
              <a:spcPts val="0"/>
            </a:spcBef>
            <a:buSzPct val="25000"/>
            <a:buNone/>
          </a:pPr>
          <a:r>
            <a:rPr lang="en-US" sz="1200" b="0" i="0" strike="noStrike">
              <a:solidFill>
                <a:srgbClr val="000000"/>
              </a:solidFill>
              <a:latin typeface="Arial"/>
              <a:ea typeface="Arial"/>
              <a:cs typeface="Arial"/>
              <a:sym typeface="Arial"/>
            </a:rPr>
            <a:t>Strong positive</a:t>
          </a:r>
        </a:p>
        <a:p>
          <a:pPr lvl="0" indent="0" algn="l" rtl="0">
            <a:spcBef>
              <a:spcPts val="0"/>
            </a:spcBef>
            <a:buSzPct val="25000"/>
            <a:buNone/>
          </a:pPr>
          <a:r>
            <a:rPr lang="en-US" sz="1200" b="0" i="0" strike="noStrike">
              <a:solidFill>
                <a:srgbClr val="000000"/>
              </a:solidFill>
              <a:latin typeface="Arial"/>
              <a:ea typeface="Arial"/>
              <a:cs typeface="Arial"/>
              <a:sym typeface="Arial"/>
            </a:rPr>
            <a:t>Positive                 +</a:t>
          </a:r>
        </a:p>
        <a:p>
          <a:pPr lvl="0" indent="0" algn="l" rtl="0">
            <a:spcBef>
              <a:spcPts val="0"/>
            </a:spcBef>
            <a:buSzPct val="25000"/>
            <a:buNone/>
          </a:pPr>
          <a:r>
            <a:rPr lang="en-US" sz="1200" b="0" i="0" strike="noStrike">
              <a:solidFill>
                <a:srgbClr val="000000"/>
              </a:solidFill>
              <a:latin typeface="Arial"/>
              <a:ea typeface="Arial"/>
              <a:cs typeface="Arial"/>
              <a:sym typeface="Arial"/>
            </a:rPr>
            <a:t>Negative</a:t>
          </a:r>
        </a:p>
        <a:p>
          <a:pPr lvl="0" indent="0" algn="l" rtl="0">
            <a:spcBef>
              <a:spcPts val="0"/>
            </a:spcBef>
            <a:buSzPct val="25000"/>
            <a:buNone/>
          </a:pPr>
          <a:r>
            <a:rPr lang="en-US" sz="1200" b="0" i="0" strike="noStrike">
              <a:solidFill>
                <a:srgbClr val="000000"/>
              </a:solidFill>
              <a:latin typeface="Arial"/>
              <a:ea typeface="Arial"/>
              <a:cs typeface="Arial"/>
              <a:sym typeface="Arial"/>
            </a:rPr>
            <a:t>Strong negative</a:t>
          </a:r>
        </a:p>
      </xdr:txBody>
    </xdr:sp>
    <xdr:clientData fLocksWithSheet="0"/>
  </xdr:twoCellAnchor>
  <xdr:twoCellAnchor>
    <xdr:from>
      <xdr:col>1</xdr:col>
      <xdr:colOff>1304925</xdr:colOff>
      <xdr:row>5</xdr:row>
      <xdr:rowOff>38100</xdr:rowOff>
    </xdr:from>
    <xdr:to>
      <xdr:col>1</xdr:col>
      <xdr:colOff>1543050</xdr:colOff>
      <xdr:row>6</xdr:row>
      <xdr:rowOff>57150</xdr:rowOff>
    </xdr:to>
    <xdr:sp macro="" textlink="">
      <xdr:nvSpPr>
        <xdr:cNvPr id="74" name="Shape 37">
          <a:extLst>
            <a:ext uri="{FF2B5EF4-FFF2-40B4-BE49-F238E27FC236}">
              <a16:creationId xmlns="" xmlns:a16="http://schemas.microsoft.com/office/drawing/2014/main" id="{00000000-0008-0000-0100-000025000000}"/>
            </a:ext>
          </a:extLst>
        </xdr:cNvPr>
        <xdr:cNvSpPr txBox="1"/>
      </xdr:nvSpPr>
      <xdr:spPr>
        <a:xfrm>
          <a:off x="1520825" y="800100"/>
          <a:ext cx="238125" cy="171450"/>
        </a:xfrm>
        <a:prstGeom prst="rect">
          <a:avLst/>
        </a:prstGeom>
        <a:noFill/>
        <a:ln>
          <a:noFill/>
        </a:ln>
      </xdr:spPr>
      <xdr:txBody>
        <a:bodyPr wrap="square" lIns="36575" tIns="22850" rIns="0" bIns="0" anchor="t" anchorCtr="0">
          <a:noAutofit/>
        </a:bodyPr>
        <a:lstStyle/>
        <a:p>
          <a:pPr lvl="0" indent="0" algn="l" rtl="0">
            <a:spcBef>
              <a:spcPts val="0"/>
            </a:spcBef>
            <a:buSzPct val="25000"/>
            <a:buNone/>
          </a:pPr>
          <a:r>
            <a:rPr lang="en-US" sz="1200" b="0" i="0" strike="noStrike">
              <a:solidFill>
                <a:srgbClr val="000000"/>
              </a:solidFill>
              <a:latin typeface="Arial"/>
              <a:ea typeface="Arial"/>
              <a:cs typeface="Arial"/>
              <a:sym typeface="Arial"/>
            </a:rPr>
            <a:t>++</a:t>
          </a:r>
        </a:p>
      </xdr:txBody>
    </xdr:sp>
    <xdr:clientData fLocksWithSheet="0"/>
  </xdr:twoCellAnchor>
  <xdr:twoCellAnchor>
    <xdr:from>
      <xdr:col>1</xdr:col>
      <xdr:colOff>1390650</xdr:colOff>
      <xdr:row>6</xdr:row>
      <xdr:rowOff>57150</xdr:rowOff>
    </xdr:from>
    <xdr:to>
      <xdr:col>1</xdr:col>
      <xdr:colOff>1628775</xdr:colOff>
      <xdr:row>7</xdr:row>
      <xdr:rowOff>76200</xdr:rowOff>
    </xdr:to>
    <xdr:sp macro="" textlink="">
      <xdr:nvSpPr>
        <xdr:cNvPr id="75" name="Shape 38">
          <a:extLst>
            <a:ext uri="{FF2B5EF4-FFF2-40B4-BE49-F238E27FC236}">
              <a16:creationId xmlns="" xmlns:a16="http://schemas.microsoft.com/office/drawing/2014/main" id="{00000000-0008-0000-0100-000026000000}"/>
            </a:ext>
          </a:extLst>
        </xdr:cNvPr>
        <xdr:cNvSpPr txBox="1"/>
      </xdr:nvSpPr>
      <xdr:spPr>
        <a:xfrm>
          <a:off x="1606550" y="971550"/>
          <a:ext cx="238125" cy="171450"/>
        </a:xfrm>
        <a:prstGeom prst="rect">
          <a:avLst/>
        </a:prstGeom>
        <a:noFill/>
        <a:ln>
          <a:noFill/>
        </a:ln>
      </xdr:spPr>
      <xdr:txBody>
        <a:bodyPr wrap="square" lIns="36575" tIns="22850" rIns="0" bIns="0" anchor="t" anchorCtr="0">
          <a:noAutofit/>
        </a:bodyPr>
        <a:lstStyle/>
        <a:p>
          <a:pPr lvl="0" indent="0" algn="l" rtl="0">
            <a:spcBef>
              <a:spcPts val="0"/>
            </a:spcBef>
            <a:buSzPct val="25000"/>
            <a:buNone/>
          </a:pPr>
          <a:r>
            <a:rPr lang="en-US" sz="1200" b="0" i="0" strike="noStrike">
              <a:solidFill>
                <a:srgbClr val="000000"/>
              </a:solidFill>
              <a:latin typeface="Arial"/>
              <a:ea typeface="Arial"/>
              <a:cs typeface="Arial"/>
              <a:sym typeface="Arial"/>
            </a:rPr>
            <a:t>+</a:t>
          </a:r>
        </a:p>
      </xdr:txBody>
    </xdr:sp>
    <xdr:clientData fLocksWithSheet="0"/>
  </xdr:twoCellAnchor>
  <xdr:twoCellAnchor>
    <xdr:from>
      <xdr:col>1</xdr:col>
      <xdr:colOff>1390650</xdr:colOff>
      <xdr:row>7</xdr:row>
      <xdr:rowOff>114300</xdr:rowOff>
    </xdr:from>
    <xdr:to>
      <xdr:col>1</xdr:col>
      <xdr:colOff>1628775</xdr:colOff>
      <xdr:row>8</xdr:row>
      <xdr:rowOff>133350</xdr:rowOff>
    </xdr:to>
    <xdr:sp macro="" textlink="">
      <xdr:nvSpPr>
        <xdr:cNvPr id="76" name="Shape 39">
          <a:extLst>
            <a:ext uri="{FF2B5EF4-FFF2-40B4-BE49-F238E27FC236}">
              <a16:creationId xmlns="" xmlns:a16="http://schemas.microsoft.com/office/drawing/2014/main" id="{00000000-0008-0000-0100-000027000000}"/>
            </a:ext>
          </a:extLst>
        </xdr:cNvPr>
        <xdr:cNvSpPr txBox="1"/>
      </xdr:nvSpPr>
      <xdr:spPr>
        <a:xfrm>
          <a:off x="1606550" y="1181100"/>
          <a:ext cx="238125" cy="171450"/>
        </a:xfrm>
        <a:prstGeom prst="rect">
          <a:avLst/>
        </a:prstGeom>
        <a:noFill/>
        <a:ln>
          <a:noFill/>
        </a:ln>
      </xdr:spPr>
      <xdr:txBody>
        <a:bodyPr wrap="square" lIns="36575" tIns="22850" rIns="0" bIns="0" anchor="t" anchorCtr="0">
          <a:noAutofit/>
        </a:bodyPr>
        <a:lstStyle/>
        <a:p>
          <a:pPr lvl="0" indent="0" algn="l" rtl="0">
            <a:spcBef>
              <a:spcPts val="0"/>
            </a:spcBef>
            <a:buSzPct val="25000"/>
            <a:buNone/>
          </a:pPr>
          <a:r>
            <a:rPr lang="en-US" sz="1200" b="0" i="0" strike="noStrike">
              <a:solidFill>
                <a:srgbClr val="000000"/>
              </a:solidFill>
              <a:latin typeface="Arial"/>
              <a:ea typeface="Arial"/>
              <a:cs typeface="Arial"/>
              <a:sym typeface="Arial"/>
            </a:rPr>
            <a:t>&lt;</a:t>
          </a:r>
        </a:p>
      </xdr:txBody>
    </xdr:sp>
    <xdr:clientData fLocksWithSheet="0"/>
  </xdr:twoCellAnchor>
  <xdr:twoCellAnchor>
    <xdr:from>
      <xdr:col>1</xdr:col>
      <xdr:colOff>1314450</xdr:colOff>
      <xdr:row>8</xdr:row>
      <xdr:rowOff>133350</xdr:rowOff>
    </xdr:from>
    <xdr:to>
      <xdr:col>1</xdr:col>
      <xdr:colOff>1552575</xdr:colOff>
      <xdr:row>10</xdr:row>
      <xdr:rowOff>19050</xdr:rowOff>
    </xdr:to>
    <xdr:sp macro="" textlink="">
      <xdr:nvSpPr>
        <xdr:cNvPr id="77" name="Shape 40">
          <a:extLst>
            <a:ext uri="{FF2B5EF4-FFF2-40B4-BE49-F238E27FC236}">
              <a16:creationId xmlns="" xmlns:a16="http://schemas.microsoft.com/office/drawing/2014/main" id="{00000000-0008-0000-0100-000028000000}"/>
            </a:ext>
          </a:extLst>
        </xdr:cNvPr>
        <xdr:cNvSpPr txBox="1"/>
      </xdr:nvSpPr>
      <xdr:spPr>
        <a:xfrm>
          <a:off x="1530350" y="1352550"/>
          <a:ext cx="238125" cy="190500"/>
        </a:xfrm>
        <a:prstGeom prst="rect">
          <a:avLst/>
        </a:prstGeom>
        <a:noFill/>
        <a:ln>
          <a:noFill/>
        </a:ln>
      </xdr:spPr>
      <xdr:txBody>
        <a:bodyPr wrap="square" lIns="36575" tIns="22850" rIns="0" bIns="0" anchor="t" anchorCtr="0">
          <a:noAutofit/>
        </a:bodyPr>
        <a:lstStyle/>
        <a:p>
          <a:pPr lvl="0" indent="0" algn="l" rtl="0">
            <a:spcBef>
              <a:spcPts val="0"/>
            </a:spcBef>
            <a:buSzPct val="25000"/>
            <a:buNone/>
          </a:pPr>
          <a:r>
            <a:rPr lang="en-US" sz="1200" b="0" i="0" strike="noStrike">
              <a:solidFill>
                <a:srgbClr val="000000"/>
              </a:solidFill>
              <a:latin typeface="Arial"/>
              <a:ea typeface="Arial"/>
              <a:cs typeface="Arial"/>
              <a:sym typeface="Arial"/>
            </a:rPr>
            <a:t>&lt;&lt;</a:t>
          </a:r>
        </a:p>
      </xdr:txBody>
    </xdr:sp>
    <xdr:clientData fLocksWithSheet="0"/>
  </xdr:twoCellAnchor>
  <xdr:twoCellAnchor>
    <xdr:from>
      <xdr:col>13</xdr:col>
      <xdr:colOff>2821</xdr:colOff>
      <xdr:row>13</xdr:row>
      <xdr:rowOff>5057</xdr:rowOff>
    </xdr:from>
    <xdr:to>
      <xdr:col>18</xdr:col>
      <xdr:colOff>9407</xdr:colOff>
      <xdr:row>16</xdr:row>
      <xdr:rowOff>0</xdr:rowOff>
    </xdr:to>
    <xdr:sp macro="" textlink="">
      <xdr:nvSpPr>
        <xdr:cNvPr id="78" name="Shape 41">
          <a:extLst>
            <a:ext uri="{FF2B5EF4-FFF2-40B4-BE49-F238E27FC236}">
              <a16:creationId xmlns="" xmlns:a16="http://schemas.microsoft.com/office/drawing/2014/main" id="{00000000-0008-0000-0100-000029000000}"/>
            </a:ext>
          </a:extLst>
        </xdr:cNvPr>
        <xdr:cNvSpPr txBox="1"/>
      </xdr:nvSpPr>
      <xdr:spPr>
        <a:xfrm>
          <a:off x="5628921" y="1986257"/>
          <a:ext cx="1403586" cy="2407943"/>
        </a:xfrm>
        <a:prstGeom prst="rect">
          <a:avLst/>
        </a:prstGeom>
        <a:noFill/>
        <a:ln w="9525" cap="flat" cmpd="sng">
          <a:solidFill>
            <a:srgbClr val="000000"/>
          </a:solidFill>
          <a:prstDash val="solid"/>
          <a:miter lim="800000"/>
          <a:headEnd type="none" w="med" len="med"/>
          <a:tailEnd type="none" w="med" len="med"/>
        </a:ln>
      </xdr:spPr>
      <xdr:txBody>
        <a:bodyPr wrap="square" lIns="36575" tIns="27425" rIns="0" bIns="0" anchor="t" anchorCtr="0">
          <a:noAutofit/>
        </a:bodyPr>
        <a:lstStyle/>
        <a:p>
          <a:pPr lvl="0" indent="0" algn="l" rtl="0">
            <a:spcBef>
              <a:spcPts val="0"/>
            </a:spcBef>
            <a:buSzPct val="25000"/>
            <a:buNone/>
          </a:pPr>
          <a:r>
            <a:rPr lang="en-US" sz="1200" b="1" i="0" u="sng" strike="noStrike">
              <a:solidFill>
                <a:srgbClr val="000000"/>
              </a:solidFill>
              <a:latin typeface="Arial"/>
              <a:ea typeface="Arial"/>
              <a:cs typeface="Arial"/>
              <a:sym typeface="Arial"/>
            </a:rPr>
            <a:t>Competitive </a:t>
          </a:r>
        </a:p>
        <a:p>
          <a:pPr lvl="0" indent="0" algn="l" rtl="0">
            <a:spcBef>
              <a:spcPts val="0"/>
            </a:spcBef>
            <a:buSzPct val="25000"/>
            <a:buNone/>
          </a:pPr>
          <a:r>
            <a:rPr lang="en-US" sz="1200" b="1" i="0" u="sng" strike="noStrike">
              <a:solidFill>
                <a:srgbClr val="000000"/>
              </a:solidFill>
              <a:latin typeface="Arial"/>
              <a:ea typeface="Arial"/>
              <a:cs typeface="Arial"/>
              <a:sym typeface="Arial"/>
            </a:rPr>
            <a:t>Evaluation</a:t>
          </a:r>
        </a:p>
        <a:p>
          <a:pPr lvl="0" indent="0" algn="l" rtl="0">
            <a:spcBef>
              <a:spcPts val="0"/>
            </a:spcBef>
            <a:buNone/>
          </a:pPr>
          <a:endParaRPr sz="1200" b="1" i="0" strike="noStrike">
            <a:solidFill>
              <a:srgbClr val="000000"/>
            </a:solidFill>
            <a:latin typeface="Arial"/>
            <a:ea typeface="Arial"/>
            <a:cs typeface="Arial"/>
            <a:sym typeface="Arial"/>
          </a:endParaRPr>
        </a:p>
        <a:p>
          <a:pPr lvl="0" indent="0" algn="l" rtl="0">
            <a:spcBef>
              <a:spcPts val="0"/>
            </a:spcBef>
            <a:buSzPct val="25000"/>
            <a:buNone/>
          </a:pPr>
          <a:r>
            <a:rPr lang="en-US" sz="1200" b="0" i="0" strike="noStrike">
              <a:solidFill>
                <a:srgbClr val="000000"/>
              </a:solidFill>
              <a:latin typeface="Arial"/>
              <a:ea typeface="Arial"/>
              <a:cs typeface="Arial"/>
              <a:sym typeface="Arial"/>
            </a:rPr>
            <a:t>Z = U</a:t>
          </a:r>
          <a:r>
            <a:rPr lang="en-US" sz="1200"/>
            <a:t>S</a:t>
          </a:r>
        </a:p>
        <a:p>
          <a:pPr lvl="0" indent="0" algn="l" rtl="0">
            <a:spcBef>
              <a:spcPts val="0"/>
            </a:spcBef>
            <a:buSzPct val="25000"/>
            <a:buNone/>
          </a:pPr>
          <a:r>
            <a:rPr lang="en-US" sz="1200" b="0" i="0" strike="noStrike">
              <a:solidFill>
                <a:srgbClr val="000000"/>
              </a:solidFill>
              <a:latin typeface="Arial"/>
              <a:ea typeface="Arial"/>
              <a:cs typeface="Arial"/>
              <a:sym typeface="Arial"/>
            </a:rPr>
            <a:t>A = </a:t>
          </a:r>
          <a:r>
            <a:rPr lang="en-US" sz="1200"/>
            <a:t>FESTIVAL</a:t>
          </a:r>
        </a:p>
        <a:p>
          <a:pPr lvl="0" indent="0" algn="l" rtl="0">
            <a:spcBef>
              <a:spcPts val="0"/>
            </a:spcBef>
            <a:buSzPct val="25000"/>
            <a:buNone/>
          </a:pPr>
          <a:r>
            <a:rPr lang="en-US" sz="1200" b="0" i="0" strike="noStrike">
              <a:solidFill>
                <a:srgbClr val="000000"/>
              </a:solidFill>
              <a:latin typeface="Arial"/>
              <a:ea typeface="Arial"/>
              <a:cs typeface="Arial"/>
              <a:sym typeface="Arial"/>
            </a:rPr>
            <a:t>B = </a:t>
          </a:r>
          <a:r>
            <a:rPr lang="en-US" sz="1200"/>
            <a:t>BOOST2</a:t>
          </a:r>
        </a:p>
        <a:p>
          <a:pPr lvl="0" indent="0" algn="l" rtl="0">
            <a:spcBef>
              <a:spcPts val="0"/>
            </a:spcBef>
            <a:buSzPct val="25000"/>
            <a:buNone/>
          </a:pPr>
          <a:r>
            <a:rPr lang="en-US" sz="1200" b="0" i="0" strike="noStrike">
              <a:solidFill>
                <a:srgbClr val="000000"/>
              </a:solidFill>
              <a:latin typeface="Arial"/>
              <a:ea typeface="Arial"/>
              <a:cs typeface="Arial"/>
              <a:sym typeface="Arial"/>
            </a:rPr>
            <a:t>(5 is best)</a:t>
          </a:r>
        </a:p>
        <a:p>
          <a:pPr lvl="0" indent="0" algn="l" rtl="0">
            <a:spcBef>
              <a:spcPts val="0"/>
            </a:spcBef>
            <a:buNone/>
          </a:pPr>
          <a:endParaRPr sz="1000" b="1" i="0" strike="noStrike">
            <a:solidFill>
              <a:srgbClr val="000000"/>
            </a:solidFill>
            <a:latin typeface="Arial"/>
            <a:ea typeface="Arial"/>
            <a:cs typeface="Arial"/>
            <a:sym typeface="Arial"/>
          </a:endParaRPr>
        </a:p>
      </xdr:txBody>
    </xdr:sp>
    <xdr:clientData fLocksWithSheet="0"/>
  </xdr:twoCellAnchor>
  <xdr:twoCellAnchor>
    <xdr:from>
      <xdr:col>14</xdr:col>
      <xdr:colOff>152400</xdr:colOff>
      <xdr:row>4</xdr:row>
      <xdr:rowOff>123825</xdr:rowOff>
    </xdr:from>
    <xdr:to>
      <xdr:col>16</xdr:col>
      <xdr:colOff>9525</xdr:colOff>
      <xdr:row>6</xdr:row>
      <xdr:rowOff>9525</xdr:rowOff>
    </xdr:to>
    <xdr:sp macro="" textlink="">
      <xdr:nvSpPr>
        <xdr:cNvPr id="79" name="Shape 43">
          <a:extLst>
            <a:ext uri="{FF2B5EF4-FFF2-40B4-BE49-F238E27FC236}">
              <a16:creationId xmlns="" xmlns:a16="http://schemas.microsoft.com/office/drawing/2014/main" id="{00000000-0008-0000-0100-00002A000000}"/>
            </a:ext>
          </a:extLst>
        </xdr:cNvPr>
        <xdr:cNvSpPr txBox="1"/>
      </xdr:nvSpPr>
      <xdr:spPr>
        <a:xfrm>
          <a:off x="6057900" y="733425"/>
          <a:ext cx="415925" cy="190500"/>
        </a:xfrm>
        <a:prstGeom prst="rect">
          <a:avLst/>
        </a:prstGeom>
        <a:noFill/>
        <a:ln>
          <a:noFill/>
        </a:ln>
      </xdr:spPr>
      <xdr:txBody>
        <a:bodyPr wrap="square" lIns="91425" tIns="91425" rIns="91425" bIns="91425" anchor="t" anchorCtr="0">
          <a:noAutofit/>
        </a:bodyPr>
        <a:lstStyle/>
        <a:p>
          <a:pPr lvl="0" algn="l">
            <a:spcBef>
              <a:spcPts val="0"/>
            </a:spcBef>
            <a:buNone/>
          </a:pPr>
          <a:endParaRPr sz="1400"/>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lenw06/AppData/Local/Temp/386/after%20midgation%20simulation%20w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eneral Assumptions"/>
      <sheetName val="Capacity"/>
      <sheetName val="Aggregate Plan"/>
      <sheetName val="Inventory"/>
      <sheetName val="Logistics"/>
      <sheetName val="Salaries"/>
      <sheetName val="Location"/>
      <sheetName val="OH"/>
      <sheetName val="Scrap + Defect"/>
      <sheetName val="HOQ"/>
      <sheetName val="Office"/>
      <sheetName val="IT"/>
      <sheetName val="BASES MODEL (Base Case)"/>
      <sheetName val="Avg.Weighted Manufacturer Price"/>
      <sheetName val="Purchase Intent and Price"/>
      <sheetName val="ACV"/>
      <sheetName val="IMC Schedules"/>
      <sheetName val="IMC References"/>
      <sheetName val="FE Assumptions"/>
      <sheetName val="Income Statement"/>
      <sheetName val="Balance Sheet"/>
      <sheetName val="RiskSerializationData"/>
      <sheetName val="Valuation"/>
      <sheetName val="Funding"/>
      <sheetName val="Break-even Analysis"/>
      <sheetName val="Depreciation Tables"/>
      <sheetName val="CompCo"/>
      <sheetName val="Risk Mitigation Cost"/>
      <sheetName val="Influenc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3">
          <cell r="C13">
            <v>-1686412.570457154</v>
          </cell>
        </row>
      </sheetData>
      <sheetData sheetId="25"/>
      <sheetData sheetId="26"/>
      <sheetData sheetId="27"/>
      <sheetData sheetId="28"/>
      <sheetData sheetId="29"/>
      <sheetData sheetId="30"/>
    </sheetDataSet>
  </externalBook>
</externalLink>
</file>

<file path=xl/tables/table1.xml><?xml version="1.0" encoding="utf-8"?>
<table xmlns="http://schemas.openxmlformats.org/spreadsheetml/2006/main" id="1" name="Table_1" displayName="Table_1" ref="C15:P16" headerRowCount="0" totalsRowCount="1" headerRowDxfId="48" dataDxfId="47" totalsRowDxfId="46">
  <tableColumns count="14">
    <tableColumn id="1" name="Column1" dataDxfId="45" totalsRowDxfId="44" dataCellStyle="Обычный 2"/>
    <tableColumn id="2" name="Column2" dataDxfId="43" totalsRowDxfId="42" dataCellStyle="Обычный 2"/>
    <tableColumn id="3" name="Column3" dataDxfId="41" totalsRowDxfId="40" dataCellStyle="Обычный 2"/>
    <tableColumn id="4" name="Column4" dataDxfId="39" totalsRowDxfId="38" dataCellStyle="Обычный 2"/>
    <tableColumn id="5" name="Column5" dataDxfId="37" totalsRowDxfId="36" dataCellStyle="Обычный 2"/>
    <tableColumn id="6" name="Column6" dataDxfId="35" totalsRowDxfId="34" dataCellStyle="Обычный 2"/>
    <tableColumn id="7" name="Column7" dataDxfId="33" totalsRowDxfId="32" dataCellStyle="Обычный 2"/>
    <tableColumn id="8" name="Column8" dataDxfId="31" totalsRowDxfId="30" dataCellStyle="Обычный 2"/>
    <tableColumn id="9" name="Column9" dataDxfId="29" totalsRowDxfId="28" dataCellStyle="Обычный 2"/>
    <tableColumn id="10" name="Column10" dataDxfId="27" totalsRowDxfId="26" dataCellStyle="Обычный 2"/>
    <tableColumn id="11" name="Column11" dataDxfId="25" totalsRowDxfId="24" dataCellStyle="Обычный 2"/>
    <tableColumn id="12" name="Column12" dataDxfId="23" totalsRowDxfId="22" dataCellStyle="Обычный 2"/>
    <tableColumn id="13" name="Column13" totalsRowFunction="custom" dataDxfId="21" totalsRowDxfId="20" dataCellStyle="Обычный 2">
      <calculatedColumnFormula>'IMC References'!F113</calculatedColumnFormula>
      <totalsRowFormula>'IMC References'!$C$66</totalsRowFormula>
    </tableColumn>
    <tableColumn id="14" name="Column14" dataDxfId="19" totalsRowDxfId="18" dataCellStyle="Обычный 2"/>
  </tableColumns>
  <tableStyleInfo name="IMC Year 1 -style" showFirstColumn="1" showLastColumn="1" showRowStripes="1" showColumnStripes="0"/>
</table>
</file>

<file path=xl/tables/table2.xml><?xml version="1.0" encoding="utf-8"?>
<table xmlns="http://schemas.openxmlformats.org/spreadsheetml/2006/main" id="2" name="Table_13" displayName="Table_13" ref="W15:AJ15" headerRowCount="0" headerRowDxfId="17" dataDxfId="16" totalsRowDxfId="15">
  <tableColumns count="14">
    <tableColumn id="1" name="Column1" dataDxfId="14"/>
    <tableColumn id="2" name="Column2" dataDxfId="13"/>
    <tableColumn id="3" name="Column3" dataDxfId="12"/>
    <tableColumn id="4" name="Column4" dataDxfId="11"/>
    <tableColumn id="5" name="Column5" dataDxfId="10"/>
    <tableColumn id="6" name="Column6" dataDxfId="9"/>
    <tableColumn id="7" name="Column7" dataDxfId="8"/>
    <tableColumn id="8" name="Column8" dataDxfId="7"/>
    <tableColumn id="9" name="Column9" dataDxfId="6"/>
    <tableColumn id="10" name="Column10" dataDxfId="5"/>
    <tableColumn id="11" name="Column11" dataDxfId="4"/>
    <tableColumn id="12" name="Column12" dataDxfId="3"/>
    <tableColumn id="13" name="Column13" dataDxfId="2">
      <calculatedColumnFormula>'IMC References'!G113</calculatedColumnFormula>
    </tableColumn>
    <tableColumn id="14" name="Column14" dataDxfId="1"/>
  </tableColumns>
  <tableStyleInfo name="IMC Year 1 -style" showFirstColumn="1" showLastColumn="1" showRowStripes="1" showColumnStripes="0"/>
</table>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1" Type="http://schemas.openxmlformats.org/officeDocument/2006/relationships/hyperlink" Target="https://myhousing.bu.edu/StarRezPortal/Modules/Induction/InductionBookingSelector.aspx?Params=L9ezxPcQnQtKJETqqLTrSJ7Oqp3x2A0JaviLs1ptWPI%3d" TargetMode="External"/><Relationship Id="rId2" Type="http://schemas.openxmlformats.org/officeDocument/2006/relationships/hyperlink" Target="https://myhousing.bu.edu/StarRezPortal/Modules/Induction/InductionBookingSelector.aspx?Params=L9ezxPcQnQtKJETqqLTrSJ7Oqp3x2A0JaviLs1ptWPI%3d"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att.my.loopnet.com/Listing/999-W-1500-S-Woods-Cross-UT/4123574/" TargetMode="External"/><Relationship Id="rId2" Type="http://schemas.openxmlformats.org/officeDocument/2006/relationships/hyperlink" Target="http://www.loopnet.com/Listing/1422-1462-S-Redwood-Rd-Salt-Lake-City-UT/5950386/"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1.xml"/><Relationship Id="rId2"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3"/>
  <sheetViews>
    <sheetView showGridLines="0" workbookViewId="0">
      <selection activeCell="E11" sqref="E11"/>
    </sheetView>
  </sheetViews>
  <sheetFormatPr baseColWidth="10" defaultColWidth="8.83203125" defaultRowHeight="16" x14ac:dyDescent="0.2"/>
  <cols>
    <col min="1" max="1" width="8.83203125" style="745"/>
    <col min="2" max="2" width="11.6640625" style="745" customWidth="1"/>
    <col min="3" max="3" width="70.6640625" style="745" customWidth="1"/>
    <col min="4" max="16384" width="8.83203125" style="745"/>
  </cols>
  <sheetData>
    <row r="1" spans="2:3" x14ac:dyDescent="0.2">
      <c r="B1" s="2767"/>
      <c r="C1" s="2767"/>
    </row>
    <row r="2" spans="2:3" x14ac:dyDescent="0.2">
      <c r="B2" s="2767"/>
      <c r="C2" s="2767"/>
    </row>
    <row r="3" spans="2:3" x14ac:dyDescent="0.2">
      <c r="B3" s="2767"/>
      <c r="C3" s="2767"/>
    </row>
    <row r="4" spans="2:3" x14ac:dyDescent="0.2">
      <c r="B4" s="2767"/>
      <c r="C4" s="2767"/>
    </row>
    <row r="5" spans="2:3" x14ac:dyDescent="0.2">
      <c r="B5" s="2767"/>
      <c r="C5" s="2767"/>
    </row>
    <row r="6" spans="2:3" x14ac:dyDescent="0.2">
      <c r="B6" s="2767"/>
      <c r="C6" s="2767"/>
    </row>
    <row r="7" spans="2:3" x14ac:dyDescent="0.2">
      <c r="B7" s="2767"/>
      <c r="C7" s="2767"/>
    </row>
    <row r="8" spans="2:3" x14ac:dyDescent="0.2">
      <c r="B8" s="2767"/>
      <c r="C8" s="2767"/>
    </row>
    <row r="9" spans="2:3" x14ac:dyDescent="0.2">
      <c r="B9" s="2767"/>
      <c r="C9" s="2767"/>
    </row>
    <row r="10" spans="2:3" x14ac:dyDescent="0.2">
      <c r="B10" s="2767"/>
      <c r="C10" s="2767"/>
    </row>
    <row r="11" spans="2:3" x14ac:dyDescent="0.2">
      <c r="B11" s="2767"/>
      <c r="C11" s="2767"/>
    </row>
    <row r="12" spans="2:3" x14ac:dyDescent="0.2">
      <c r="B12" s="2767"/>
      <c r="C12" s="2767"/>
    </row>
    <row r="13" spans="2:3" x14ac:dyDescent="0.2">
      <c r="B13" s="2767"/>
      <c r="C13" s="2767"/>
    </row>
    <row r="14" spans="2:3" x14ac:dyDescent="0.2">
      <c r="B14" s="2767"/>
      <c r="C14" s="2767"/>
    </row>
    <row r="15" spans="2:3" x14ac:dyDescent="0.2">
      <c r="B15" s="2767"/>
      <c r="C15" s="2767"/>
    </row>
    <row r="16" spans="2:3" x14ac:dyDescent="0.2">
      <c r="B16" s="2767"/>
      <c r="C16" s="2767"/>
    </row>
    <row r="17" spans="2:3" x14ac:dyDescent="0.2">
      <c r="B17" s="2767"/>
      <c r="C17" s="2767"/>
    </row>
    <row r="18" spans="2:3" x14ac:dyDescent="0.2">
      <c r="B18" s="2768"/>
      <c r="C18" s="2768"/>
    </row>
    <row r="19" spans="2:3" x14ac:dyDescent="0.2">
      <c r="B19" s="2765" t="s">
        <v>0</v>
      </c>
      <c r="C19" s="2766"/>
    </row>
    <row r="20" spans="2:3" ht="21" customHeight="1" x14ac:dyDescent="0.2">
      <c r="B20" s="1713" t="s">
        <v>1</v>
      </c>
      <c r="C20" s="1158" t="s">
        <v>2</v>
      </c>
    </row>
    <row r="21" spans="2:3" ht="56" customHeight="1" x14ac:dyDescent="0.2">
      <c r="B21" s="1713" t="s">
        <v>3</v>
      </c>
      <c r="C21" s="1380" t="s">
        <v>4</v>
      </c>
    </row>
    <row r="22" spans="2:3" ht="20.25" customHeight="1" x14ac:dyDescent="0.2">
      <c r="B22" s="1713" t="s">
        <v>5</v>
      </c>
      <c r="C22" s="1380" t="s">
        <v>6</v>
      </c>
    </row>
    <row r="23" spans="2:3" x14ac:dyDescent="0.2">
      <c r="B23" s="1532" t="s">
        <v>7</v>
      </c>
      <c r="C23" s="1382">
        <v>43056</v>
      </c>
    </row>
  </sheetData>
  <mergeCells count="2">
    <mergeCell ref="B19:C19"/>
    <mergeCell ref="B1:C18"/>
  </mergeCells>
  <phoneticPr fontId="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Z39"/>
  <sheetViews>
    <sheetView showGridLines="0" zoomScale="75" workbookViewId="0"/>
  </sheetViews>
  <sheetFormatPr baseColWidth="10" defaultColWidth="14.5" defaultRowHeight="15.75" customHeight="1" x14ac:dyDescent="0.2"/>
  <cols>
    <col min="1" max="1" width="7.1640625" style="16" customWidth="1"/>
    <col min="2" max="2" width="33.5" style="16" customWidth="1"/>
    <col min="3" max="3" width="19.6640625" style="16" customWidth="1"/>
    <col min="4" max="4" width="18.1640625" style="16" customWidth="1"/>
    <col min="5" max="5" width="18.5" style="16" customWidth="1"/>
    <col min="6" max="6" width="19" style="16" customWidth="1"/>
    <col min="7" max="7" width="19.1640625" style="16" customWidth="1"/>
    <col min="8" max="8" width="2.5" style="16" customWidth="1"/>
    <col min="9" max="9" width="2.6640625" style="16" customWidth="1"/>
    <col min="10" max="10" width="24" style="16" customWidth="1"/>
    <col min="11" max="11" width="14.5" style="16" customWidth="1"/>
    <col min="12" max="12" width="13.33203125" style="16" customWidth="1"/>
    <col min="13" max="14" width="13.1640625" style="16" customWidth="1"/>
    <col min="15" max="15" width="11.5" style="16" customWidth="1"/>
    <col min="16" max="16" width="12.1640625" style="16" customWidth="1"/>
    <col min="17" max="17" width="11.6640625" style="16" customWidth="1"/>
    <col min="18" max="18" width="11.5" style="16" customWidth="1"/>
    <col min="19" max="19" width="11.1640625" style="16" customWidth="1"/>
    <col min="20" max="20" width="12.1640625" style="16" customWidth="1"/>
    <col min="21" max="16384" width="14.5" style="16"/>
  </cols>
  <sheetData>
    <row r="1" spans="1:26" ht="16.5" customHeight="1" x14ac:dyDescent="0.2">
      <c r="A1" s="1771" t="s">
        <v>38</v>
      </c>
      <c r="J1" s="2"/>
    </row>
    <row r="2" spans="1:26" ht="17.25" customHeight="1" x14ac:dyDescent="0.2">
      <c r="B2" s="17" t="s">
        <v>714</v>
      </c>
      <c r="C2" s="18" t="s">
        <v>71</v>
      </c>
      <c r="D2" s="19" t="s">
        <v>72</v>
      </c>
      <c r="E2" s="19" t="s">
        <v>73</v>
      </c>
      <c r="F2" s="19" t="s">
        <v>74</v>
      </c>
      <c r="G2" s="20" t="s">
        <v>75</v>
      </c>
    </row>
    <row r="3" spans="1:26" ht="16" x14ac:dyDescent="0.2">
      <c r="A3" s="21"/>
      <c r="B3" s="22" t="s">
        <v>715</v>
      </c>
      <c r="C3" s="23">
        <f>'IMC References'!C3</f>
        <v>8060000</v>
      </c>
      <c r="D3" s="24">
        <f>'IMC References'!D3</f>
        <v>8288285.9355566287</v>
      </c>
      <c r="E3" s="24">
        <f>'IMC References'!E3</f>
        <v>8519099.4789626393</v>
      </c>
      <c r="F3" s="24">
        <f>'IMC References'!F3</f>
        <v>8744113.0776918661</v>
      </c>
      <c r="G3" s="25">
        <f>'IMC References'!G3</f>
        <v>8958888.0618449114</v>
      </c>
      <c r="H3" s="21"/>
      <c r="U3" s="21"/>
      <c r="V3" s="21"/>
      <c r="W3" s="21"/>
      <c r="X3" s="21"/>
      <c r="Y3" s="21"/>
      <c r="Z3" s="21"/>
    </row>
    <row r="4" spans="1:26" ht="16" x14ac:dyDescent="0.2">
      <c r="B4" s="26" t="s">
        <v>716</v>
      </c>
      <c r="C4" s="27">
        <f>'Avg.Weighted Manufacturer Price'!H9</f>
        <v>127</v>
      </c>
      <c r="D4" s="28">
        <f>'Avg.Weighted Manufacturer Price'!H16</f>
        <v>127</v>
      </c>
      <c r="E4" s="28">
        <f>'Avg.Weighted Manufacturer Price'!H25</f>
        <v>117</v>
      </c>
      <c r="F4" s="28">
        <f>'Avg.Weighted Manufacturer Price'!H34</f>
        <v>116.85714285714286</v>
      </c>
      <c r="G4" s="29">
        <f>'Avg.Weighted Manufacturer Price'!H43</f>
        <v>116.85714285714286</v>
      </c>
    </row>
    <row r="5" spans="1:26" ht="16" x14ac:dyDescent="0.2">
      <c r="A5" s="30"/>
      <c r="B5" s="31" t="s">
        <v>717</v>
      </c>
      <c r="C5" s="2044" t="e">
        <f ca="1">'Purchase Intent and Price'!C13</f>
        <v>#NAME?</v>
      </c>
      <c r="D5" s="2045" t="e">
        <f ca="1">'Purchase Intent and Price'!D13</f>
        <v>#NAME?</v>
      </c>
      <c r="E5" s="2045" t="e">
        <f ca="1">'Purchase Intent and Price'!E13</f>
        <v>#NAME?</v>
      </c>
      <c r="F5" s="2045" t="e">
        <f ca="1">'Purchase Intent and Price'!F13</f>
        <v>#NAME?</v>
      </c>
      <c r="G5" s="2046" t="e">
        <f ca="1">'Purchase Intent and Price'!G13</f>
        <v>#NAME?</v>
      </c>
      <c r="H5" s="30"/>
      <c r="U5" s="30"/>
      <c r="V5" s="30"/>
      <c r="W5" s="30"/>
      <c r="X5" s="30"/>
      <c r="Y5" s="30"/>
      <c r="Z5" s="30"/>
    </row>
    <row r="6" spans="1:26" ht="16" x14ac:dyDescent="0.2">
      <c r="B6" s="33" t="s">
        <v>718</v>
      </c>
      <c r="C6" s="2047">
        <f>'Purchase Intent and Price'!M6</f>
        <v>4.9599999999999998E-2</v>
      </c>
      <c r="D6" s="2047">
        <f>'Purchase Intent and Price'!M6</f>
        <v>4.9599999999999998E-2</v>
      </c>
      <c r="E6" s="2047">
        <f>'Purchase Intent and Price'!M6</f>
        <v>4.9599999999999998E-2</v>
      </c>
      <c r="F6" s="2047">
        <f>'Purchase Intent and Price'!M6</f>
        <v>4.9599999999999998E-2</v>
      </c>
      <c r="G6" s="2046">
        <f>'Purchase Intent and Price'!M6</f>
        <v>4.9599999999999998E-2</v>
      </c>
    </row>
    <row r="7" spans="1:26" ht="16" x14ac:dyDescent="0.2">
      <c r="B7" s="33" t="s">
        <v>719</v>
      </c>
      <c r="C7" s="2047">
        <f>'IMC Schedules'!Q34</f>
        <v>8.5303516808770824E-2</v>
      </c>
      <c r="D7" s="2045">
        <f>'IMC Schedules'!AK36</f>
        <v>9.8104157902794184E-2</v>
      </c>
      <c r="E7" s="2048">
        <f>'IMC Schedules'!Q87</f>
        <v>0.17802463390733206</v>
      </c>
      <c r="F7" s="2045">
        <f>'IMC Schedules'!AK87</f>
        <v>0.1979471063871972</v>
      </c>
      <c r="G7" s="2049">
        <f>'IMC Schedules'!Q138</f>
        <v>0.19983862216751505</v>
      </c>
    </row>
    <row r="8" spans="1:26" ht="16" x14ac:dyDescent="0.2">
      <c r="B8" s="34" t="s">
        <v>720</v>
      </c>
      <c r="C8" s="2050" t="e">
        <f ca="1">ACV!C14</f>
        <v>#NAME?</v>
      </c>
      <c r="D8" s="2051" t="e">
        <f ca="1">ACV!D14</f>
        <v>#NAME?</v>
      </c>
      <c r="E8" s="2051" t="e">
        <f ca="1">ACV!E14</f>
        <v>#NAME?</v>
      </c>
      <c r="F8" s="2051" t="e">
        <f ca="1">ACV!F14</f>
        <v>#NAME?</v>
      </c>
      <c r="G8" s="2052" t="e">
        <f ca="1">ACV!G14</f>
        <v>#NAME?</v>
      </c>
    </row>
    <row r="9" spans="1:26" ht="16" x14ac:dyDescent="0.2">
      <c r="A9" s="30"/>
      <c r="B9" s="36" t="s">
        <v>721</v>
      </c>
      <c r="C9" s="37" t="e">
        <f ca="1">C3*(C5+C6)*C7*C8</f>
        <v>#NAME?</v>
      </c>
      <c r="D9" s="37" t="e">
        <f ca="1">D3*(D5+D6)*D7*D8</f>
        <v>#NAME?</v>
      </c>
      <c r="E9" s="37" t="e">
        <f ca="1">E3*(E5+E6)*E7*E8</f>
        <v>#NAME?</v>
      </c>
      <c r="F9" s="37" t="e">
        <f ca="1">F3*(F5+F6)*F7*F8</f>
        <v>#NAME?</v>
      </c>
      <c r="G9" s="38" t="e">
        <f ca="1">G3*(G5+G6)*G7*G8</f>
        <v>#NAME?</v>
      </c>
      <c r="H9" s="30"/>
      <c r="U9" s="30"/>
      <c r="V9" s="30"/>
      <c r="W9" s="30"/>
      <c r="X9" s="30"/>
      <c r="Y9" s="30"/>
      <c r="Z9" s="30"/>
    </row>
    <row r="10" spans="1:26" ht="16" x14ac:dyDescent="0.2">
      <c r="B10" s="33" t="s">
        <v>722</v>
      </c>
      <c r="C10" s="39"/>
      <c r="D10" s="40"/>
      <c r="E10" s="40"/>
      <c r="F10" s="40"/>
      <c r="G10" s="41"/>
    </row>
    <row r="11" spans="1:26" ht="16" x14ac:dyDescent="0.2">
      <c r="A11" s="30"/>
      <c r="B11" s="42" t="s">
        <v>723</v>
      </c>
      <c r="C11" s="37" t="e">
        <f ca="1">C9+C10</f>
        <v>#NAME?</v>
      </c>
      <c r="D11" s="37" t="e">
        <f ca="1">D9+D10</f>
        <v>#NAME?</v>
      </c>
      <c r="E11" s="37" t="e">
        <f ca="1">E9+E10</f>
        <v>#NAME?</v>
      </c>
      <c r="F11" s="37" t="e">
        <f ca="1">F9+F10</f>
        <v>#NAME?</v>
      </c>
      <c r="G11" s="38" t="e">
        <f ca="1">G9+G10</f>
        <v>#NAME?</v>
      </c>
      <c r="H11" s="30"/>
      <c r="U11" s="30"/>
      <c r="V11" s="30"/>
      <c r="W11" s="30"/>
      <c r="X11" s="30"/>
      <c r="Y11" s="30"/>
      <c r="Z11" s="30"/>
    </row>
    <row r="12" spans="1:26" ht="16" x14ac:dyDescent="0.2">
      <c r="B12" s="33" t="s">
        <v>724</v>
      </c>
      <c r="C12" s="39">
        <f>'Avg.Weighted Manufacturer Price'!K41</f>
        <v>0</v>
      </c>
      <c r="D12" s="39">
        <f>'Avg.Weighted Manufacturer Price'!L41</f>
        <v>0</v>
      </c>
      <c r="E12" s="39">
        <f>'Avg.Weighted Manufacturer Price'!M41</f>
        <v>-7639.8464099131861</v>
      </c>
      <c r="F12" s="39">
        <f>'Avg.Weighted Manufacturer Price'!N41</f>
        <v>-11887.102044427886</v>
      </c>
      <c r="G12" s="43">
        <f>'Avg.Weighted Manufacturer Price'!O41</f>
        <v>-12608.982213630401</v>
      </c>
      <c r="I12" s="21"/>
    </row>
    <row r="13" spans="1:26" ht="16" x14ac:dyDescent="0.2">
      <c r="A13" s="30"/>
      <c r="B13" s="42" t="s">
        <v>725</v>
      </c>
      <c r="C13" s="37" t="e">
        <f ca="1">SUM(C11:C12)</f>
        <v>#NAME?</v>
      </c>
      <c r="D13" s="37" t="e">
        <f ca="1">SUM(D11:D12)</f>
        <v>#NAME?</v>
      </c>
      <c r="E13" s="37" t="e">
        <f ca="1">SUM(E11:E12)</f>
        <v>#NAME?</v>
      </c>
      <c r="F13" s="37" t="e">
        <f ca="1">SUM(F11:F12)</f>
        <v>#NAME?</v>
      </c>
      <c r="G13" s="38" t="e">
        <f ca="1">SUM(G11:G12)</f>
        <v>#NAME?</v>
      </c>
      <c r="H13" s="30"/>
      <c r="U13" s="30"/>
      <c r="V13" s="30"/>
      <c r="W13" s="30"/>
      <c r="X13" s="30"/>
      <c r="Y13" s="30"/>
      <c r="Z13" s="30"/>
    </row>
    <row r="14" spans="1:26" ht="16" x14ac:dyDescent="0.2">
      <c r="B14" s="34" t="s">
        <v>726</v>
      </c>
      <c r="C14" s="2039">
        <f>'Avg.Weighted Manufacturer Price'!F9</f>
        <v>80.561016949152545</v>
      </c>
      <c r="D14" s="2039">
        <f>'Avg.Weighted Manufacturer Price'!F16</f>
        <v>78.128888213851766</v>
      </c>
      <c r="E14" s="2040">
        <f>'Avg.Weighted Manufacturer Price'!F25</f>
        <v>77.474995001098407</v>
      </c>
      <c r="F14" s="2040">
        <f>'Avg.Weighted Manufacturer Price'!F34</f>
        <v>73.278874137354507</v>
      </c>
      <c r="G14" s="2041">
        <f>'Avg.Weighted Manufacturer Price'!F43</f>
        <v>72.87782346630911</v>
      </c>
      <c r="I14" s="30"/>
    </row>
    <row r="15" spans="1:26" ht="16" x14ac:dyDescent="0.2">
      <c r="B15" s="44" t="s">
        <v>727</v>
      </c>
      <c r="C15" s="2042" t="e">
        <f ca="1">C13*C14</f>
        <v>#NAME?</v>
      </c>
      <c r="D15" s="2042" t="e">
        <f ca="1">D13*D14</f>
        <v>#NAME?</v>
      </c>
      <c r="E15" s="2042" t="e">
        <f ca="1">E13*E14</f>
        <v>#NAME?</v>
      </c>
      <c r="F15" s="2042" t="e">
        <f ca="1">F13*F14</f>
        <v>#NAME?</v>
      </c>
      <c r="G15" s="2043" t="e">
        <f ca="1">G13*G14</f>
        <v>#NAME?</v>
      </c>
    </row>
    <row r="17" spans="1:26" ht="16.5" customHeight="1" x14ac:dyDescent="0.2">
      <c r="B17" s="45" t="s">
        <v>728</v>
      </c>
      <c r="C17" s="46" t="s">
        <v>71</v>
      </c>
      <c r="D17" s="47" t="s">
        <v>72</v>
      </c>
      <c r="E17" s="47" t="s">
        <v>73</v>
      </c>
      <c r="F17" s="47" t="s">
        <v>74</v>
      </c>
      <c r="G17" s="48" t="s">
        <v>75</v>
      </c>
    </row>
    <row r="18" spans="1:26" ht="15.75" customHeight="1" x14ac:dyDescent="0.2">
      <c r="A18" s="21"/>
      <c r="B18" s="22" t="s">
        <v>729</v>
      </c>
      <c r="C18" s="23">
        <f>'IMC References'!C7</f>
        <v>12020000</v>
      </c>
      <c r="D18" s="24">
        <f>'IMC References'!D7</f>
        <v>12336998.865877114</v>
      </c>
      <c r="E18" s="24">
        <f>'IMC References'!E7</f>
        <v>12365192.677053036</v>
      </c>
      <c r="F18" s="24">
        <f>'IMC References'!F7</f>
        <v>12348150.765320711</v>
      </c>
      <c r="G18" s="25">
        <f>'IMC References'!G7</f>
        <v>12279462.670491993</v>
      </c>
      <c r="H18" s="21"/>
      <c r="I18" s="30"/>
      <c r="U18" s="21"/>
      <c r="V18" s="21"/>
      <c r="W18" s="21"/>
      <c r="X18" s="21"/>
      <c r="Y18" s="21"/>
      <c r="Z18" s="21"/>
    </row>
    <row r="19" spans="1:26" ht="14" customHeight="1" x14ac:dyDescent="0.2">
      <c r="B19" s="26" t="s">
        <v>716</v>
      </c>
      <c r="C19" s="49">
        <f>'Avg.Weighted Manufacturer Price'!H9</f>
        <v>127</v>
      </c>
      <c r="D19" s="28">
        <f>'Avg.Weighted Manufacturer Price'!H16</f>
        <v>127</v>
      </c>
      <c r="E19" s="28">
        <f>'Avg.Weighted Manufacturer Price'!H25</f>
        <v>117</v>
      </c>
      <c r="F19" s="28">
        <f>'Avg.Weighted Manufacturer Price'!H34</f>
        <v>116.85714285714286</v>
      </c>
      <c r="G19" s="29">
        <f>'Avg.Weighted Manufacturer Price'!H43</f>
        <v>116.85714285714286</v>
      </c>
    </row>
    <row r="20" spans="1:26" ht="16" x14ac:dyDescent="0.2">
      <c r="A20" s="30"/>
      <c r="B20" s="31" t="s">
        <v>717</v>
      </c>
      <c r="C20" s="2044" t="e">
        <f ca="1">'Purchase Intent and Price'!C20</f>
        <v>#NAME?</v>
      </c>
      <c r="D20" s="2045" t="e">
        <f ca="1">'Purchase Intent and Price'!D20</f>
        <v>#NAME?</v>
      </c>
      <c r="E20" s="2045" t="e">
        <f ca="1">'Purchase Intent and Price'!E20</f>
        <v>#NAME?</v>
      </c>
      <c r="F20" s="2045" t="e">
        <f ca="1">'Purchase Intent and Price'!F20</f>
        <v>#NAME?</v>
      </c>
      <c r="G20" s="2046" t="e">
        <f ca="1">'Purchase Intent and Price'!G20</f>
        <v>#NAME?</v>
      </c>
      <c r="H20" s="30"/>
      <c r="I20" s="30"/>
      <c r="U20" s="30"/>
      <c r="V20" s="30"/>
      <c r="W20" s="30"/>
      <c r="X20" s="30"/>
      <c r="Y20" s="30"/>
      <c r="Z20" s="30"/>
    </row>
    <row r="21" spans="1:26" ht="16" x14ac:dyDescent="0.2">
      <c r="B21" s="33" t="s">
        <v>718</v>
      </c>
      <c r="C21" s="2047">
        <f>'Purchase Intent and Price'!M7</f>
        <v>3.5799999999999998E-2</v>
      </c>
      <c r="D21" s="2047">
        <f>'Purchase Intent and Price'!M7</f>
        <v>3.5799999999999998E-2</v>
      </c>
      <c r="E21" s="2047">
        <f>'Purchase Intent and Price'!M7</f>
        <v>3.5799999999999998E-2</v>
      </c>
      <c r="F21" s="2047">
        <f>'Purchase Intent and Price'!M7</f>
        <v>3.5799999999999998E-2</v>
      </c>
      <c r="G21" s="2046">
        <f>'Purchase Intent and Price'!M7</f>
        <v>3.5799999999999998E-2</v>
      </c>
    </row>
    <row r="22" spans="1:26" ht="16" x14ac:dyDescent="0.2">
      <c r="B22" s="33" t="s">
        <v>719</v>
      </c>
      <c r="C22" s="2047">
        <f>'IMC Schedules'!R34</f>
        <v>9.5177804118712808E-2</v>
      </c>
      <c r="D22" s="2045">
        <f>'IMC Schedules'!AL36</f>
        <v>0.11085572079898109</v>
      </c>
      <c r="E22" s="2048">
        <f>'IMC Schedules'!R87</f>
        <v>0.2033466309594022</v>
      </c>
      <c r="F22" s="2045">
        <f>'IMC Schedules'!AL87</f>
        <v>0.22364823052895494</v>
      </c>
      <c r="G22" s="2046">
        <f>'IMC Schedules'!R138</f>
        <v>0.22991665961871835</v>
      </c>
      <c r="I22" s="30"/>
    </row>
    <row r="23" spans="1:26" ht="16" x14ac:dyDescent="0.2">
      <c r="B23" s="34" t="s">
        <v>720</v>
      </c>
      <c r="C23" s="2050" t="e">
        <f ca="1">ACV!C14</f>
        <v>#NAME?</v>
      </c>
      <c r="D23" s="2051" t="e">
        <f ca="1">ACV!D14</f>
        <v>#NAME?</v>
      </c>
      <c r="E23" s="2051" t="e">
        <f ca="1">ACV!E14</f>
        <v>#NAME?</v>
      </c>
      <c r="F23" s="2051" t="e">
        <f ca="1">ACV!F14</f>
        <v>#NAME?</v>
      </c>
      <c r="G23" s="2052" t="e">
        <f ca="1">ACV!G14</f>
        <v>#NAME?</v>
      </c>
    </row>
    <row r="24" spans="1:26" ht="16" x14ac:dyDescent="0.2">
      <c r="A24" s="30"/>
      <c r="B24" s="36" t="s">
        <v>721</v>
      </c>
      <c r="C24" s="50" t="e">
        <f ca="1">C18*(C20+C21)*C22*C23</f>
        <v>#NAME?</v>
      </c>
      <c r="D24" s="50" t="e">
        <f ca="1">D18*(D20+D21)*D22*D23</f>
        <v>#NAME?</v>
      </c>
      <c r="E24" s="50" t="e">
        <f ca="1">E18*(E20+E21)*E22*E23</f>
        <v>#NAME?</v>
      </c>
      <c r="F24" s="50" t="e">
        <f ca="1">F18*(F20+F21)*F22*F23</f>
        <v>#NAME?</v>
      </c>
      <c r="G24" s="51" t="e">
        <f ca="1">G18*(G20+G21)*G22*G23</f>
        <v>#NAME?</v>
      </c>
      <c r="H24" s="30"/>
      <c r="U24" s="30"/>
      <c r="V24" s="30"/>
      <c r="W24" s="30"/>
      <c r="X24" s="30"/>
      <c r="Y24" s="30"/>
      <c r="Z24" s="30"/>
    </row>
    <row r="25" spans="1:26" ht="16" x14ac:dyDescent="0.2">
      <c r="B25" s="33" t="s">
        <v>722</v>
      </c>
      <c r="C25" s="39"/>
      <c r="D25" s="40"/>
      <c r="E25" s="40"/>
      <c r="F25" s="40"/>
      <c r="G25" s="41"/>
    </row>
    <row r="26" spans="1:26" ht="16" x14ac:dyDescent="0.2">
      <c r="A26" s="30"/>
      <c r="B26" s="42" t="s">
        <v>723</v>
      </c>
      <c r="C26" s="50" t="e">
        <f ca="1">C24</f>
        <v>#NAME?</v>
      </c>
      <c r="D26" s="50" t="e">
        <f ca="1">D24</f>
        <v>#NAME?</v>
      </c>
      <c r="E26" s="50" t="e">
        <f ca="1">E24</f>
        <v>#NAME?</v>
      </c>
      <c r="F26" s="50" t="e">
        <f ca="1">F24</f>
        <v>#NAME?</v>
      </c>
      <c r="G26" s="51" t="e">
        <f ca="1">G24</f>
        <v>#NAME?</v>
      </c>
      <c r="H26" s="30"/>
      <c r="I26" s="52"/>
      <c r="U26" s="30"/>
      <c r="V26" s="30"/>
      <c r="W26" s="30"/>
      <c r="X26" s="30"/>
      <c r="Y26" s="30"/>
      <c r="Z26" s="30"/>
    </row>
    <row r="27" spans="1:26" ht="16" x14ac:dyDescent="0.2">
      <c r="B27" s="33" t="s">
        <v>724</v>
      </c>
      <c r="C27" s="39">
        <f>'Avg.Weighted Manufacturer Price'!K43</f>
        <v>0</v>
      </c>
      <c r="D27" s="39">
        <f>'Avg.Weighted Manufacturer Price'!L43</f>
        <v>0</v>
      </c>
      <c r="E27" s="39">
        <f>'Avg.Weighted Manufacturer Price'!M43</f>
        <v>-25899.565117924023</v>
      </c>
      <c r="F27" s="39">
        <f>'Avg.Weighted Manufacturer Price'!N43</f>
        <v>-38781.287546490894</v>
      </c>
      <c r="G27" s="43">
        <f>'Avg.Weighted Manufacturer Price'!O43</f>
        <v>-40657.443311877054</v>
      </c>
    </row>
    <row r="28" spans="1:26" ht="16" x14ac:dyDescent="0.2">
      <c r="A28" s="30"/>
      <c r="B28" s="42" t="s">
        <v>725</v>
      </c>
      <c r="C28" s="50" t="e">
        <f ca="1">C26+C27</f>
        <v>#NAME?</v>
      </c>
      <c r="D28" s="50" t="e">
        <f ca="1">D26+D27</f>
        <v>#NAME?</v>
      </c>
      <c r="E28" s="50" t="e">
        <f ca="1">E26+E27</f>
        <v>#NAME?</v>
      </c>
      <c r="F28" s="50" t="e">
        <f ca="1">F26+F27</f>
        <v>#NAME?</v>
      </c>
      <c r="G28" s="51" t="e">
        <f ca="1">G26+G27</f>
        <v>#NAME?</v>
      </c>
      <c r="H28" s="30"/>
      <c r="U28" s="30"/>
      <c r="V28" s="30"/>
      <c r="W28" s="30"/>
      <c r="X28" s="30"/>
      <c r="Y28" s="30"/>
      <c r="Z28" s="30"/>
    </row>
    <row r="29" spans="1:26" ht="16" x14ac:dyDescent="0.2">
      <c r="B29" s="34" t="s">
        <v>726</v>
      </c>
      <c r="C29" s="2039">
        <f>'Avg.Weighted Manufacturer Price'!F9</f>
        <v>80.561016949152545</v>
      </c>
      <c r="D29" s="2039">
        <f>'Avg.Weighted Manufacturer Price'!F16</f>
        <v>78.128888213851766</v>
      </c>
      <c r="E29" s="2040">
        <f>'Avg.Weighted Manufacturer Price'!F25</f>
        <v>77.474995001098407</v>
      </c>
      <c r="F29" s="2040">
        <f>'Avg.Weighted Manufacturer Price'!F34</f>
        <v>73.278874137354507</v>
      </c>
      <c r="G29" s="2041">
        <f>'Avg.Weighted Manufacturer Price'!F43</f>
        <v>72.87782346630911</v>
      </c>
    </row>
    <row r="30" spans="1:26" ht="16" x14ac:dyDescent="0.2">
      <c r="B30" s="44" t="s">
        <v>730</v>
      </c>
      <c r="C30" s="2053" t="e">
        <f ca="1">C29*C28</f>
        <v>#NAME?</v>
      </c>
      <c r="D30" s="2053" t="e">
        <f ca="1">D29*D28</f>
        <v>#NAME?</v>
      </c>
      <c r="E30" s="2053" t="e">
        <f ca="1">E29*E28</f>
        <v>#NAME?</v>
      </c>
      <c r="F30" s="2053" t="e">
        <f ca="1">F29*F28</f>
        <v>#NAME?</v>
      </c>
      <c r="G30" s="2054" t="e">
        <f ca="1">G29*G28</f>
        <v>#NAME?</v>
      </c>
    </row>
    <row r="32" spans="1:26" ht="15.75" customHeight="1" x14ac:dyDescent="0.2">
      <c r="A32" s="52"/>
      <c r="B32" s="53" t="s">
        <v>731</v>
      </c>
      <c r="C32" s="54" t="s">
        <v>71</v>
      </c>
      <c r="D32" s="55" t="s">
        <v>72</v>
      </c>
      <c r="E32" s="55" t="s">
        <v>73</v>
      </c>
      <c r="F32" s="55" t="s">
        <v>74</v>
      </c>
      <c r="G32" s="56" t="s">
        <v>75</v>
      </c>
      <c r="H32" s="52"/>
      <c r="U32" s="52"/>
      <c r="V32" s="52"/>
      <c r="W32" s="52"/>
      <c r="X32" s="52"/>
      <c r="Y32" s="52"/>
    </row>
    <row r="33" spans="2:25" ht="15" customHeight="1" x14ac:dyDescent="0.2">
      <c r="B33" s="36" t="s">
        <v>721</v>
      </c>
      <c r="C33" s="57" t="e">
        <f ca="1">C9+C24</f>
        <v>#NAME?</v>
      </c>
      <c r="D33" s="57" t="e">
        <f ca="1">D9+D24</f>
        <v>#NAME?</v>
      </c>
      <c r="E33" s="57" t="e">
        <f ca="1">E9+E24</f>
        <v>#NAME?</v>
      </c>
      <c r="F33" s="57" t="e">
        <f ca="1">F9+F24</f>
        <v>#NAME?</v>
      </c>
      <c r="G33" s="58" t="e">
        <f ca="1">G9+G24</f>
        <v>#NAME?</v>
      </c>
      <c r="U33" s="52"/>
      <c r="V33" s="52"/>
      <c r="W33" s="52"/>
      <c r="X33" s="52"/>
      <c r="Y33" s="52"/>
    </row>
    <row r="34" spans="2:25" ht="15" customHeight="1" x14ac:dyDescent="0.2">
      <c r="B34" s="33" t="s">
        <v>722</v>
      </c>
      <c r="C34" s="39"/>
      <c r="D34" s="40"/>
      <c r="E34" s="40"/>
      <c r="F34" s="40"/>
      <c r="G34" s="41"/>
    </row>
    <row r="35" spans="2:25" ht="14.25" customHeight="1" x14ac:dyDescent="0.2">
      <c r="B35" s="42" t="s">
        <v>723</v>
      </c>
      <c r="C35" s="57" t="e">
        <f ca="1">C11+C26</f>
        <v>#NAME?</v>
      </c>
      <c r="D35" s="57" t="e">
        <f ca="1">D11+D26</f>
        <v>#NAME?</v>
      </c>
      <c r="E35" s="57" t="e">
        <f ca="1">E11+E26</f>
        <v>#NAME?</v>
      </c>
      <c r="F35" s="57" t="e">
        <f ca="1">F11+F26</f>
        <v>#NAME?</v>
      </c>
      <c r="G35" s="58" t="e">
        <f ca="1">G11+G26</f>
        <v>#NAME?</v>
      </c>
    </row>
    <row r="36" spans="2:25" ht="16" x14ac:dyDescent="0.2">
      <c r="B36" s="33" t="s">
        <v>724</v>
      </c>
      <c r="C36" s="39">
        <f>'Avg.Weighted Manufacturer Price'!K45</f>
        <v>0</v>
      </c>
      <c r="D36" s="39">
        <f>'Avg.Weighted Manufacturer Price'!L45</f>
        <v>0</v>
      </c>
      <c r="E36" s="39">
        <f>'Avg.Weighted Manufacturer Price'!M45</f>
        <v>-33539.411527837212</v>
      </c>
      <c r="F36" s="39">
        <f>'Avg.Weighted Manufacturer Price'!N45</f>
        <v>-50668.389590918778</v>
      </c>
      <c r="G36" s="43">
        <f>'Avg.Weighted Manufacturer Price'!O45</f>
        <v>-53266.42552550746</v>
      </c>
    </row>
    <row r="37" spans="2:25" ht="16" x14ac:dyDescent="0.2">
      <c r="B37" s="42" t="s">
        <v>725</v>
      </c>
      <c r="C37" s="57" t="e">
        <f ca="1">ROUNDUP(C13+C28,0)</f>
        <v>#NAME?</v>
      </c>
      <c r="D37" s="57" t="e">
        <f t="shared" ref="D37:G37" ca="1" si="0">ROUNDUP(D13+D28,0)</f>
        <v>#NAME?</v>
      </c>
      <c r="E37" s="57" t="e">
        <f t="shared" ca="1" si="0"/>
        <v>#NAME?</v>
      </c>
      <c r="F37" s="57" t="e">
        <f t="shared" ca="1" si="0"/>
        <v>#NAME?</v>
      </c>
      <c r="G37" s="2562" t="e">
        <f t="shared" ca="1" si="0"/>
        <v>#NAME?</v>
      </c>
    </row>
    <row r="38" spans="2:25" ht="16" x14ac:dyDescent="0.2">
      <c r="B38" s="34" t="s">
        <v>732</v>
      </c>
      <c r="C38" s="2039">
        <f>'Avg.Weighted Manufacturer Price'!F9</f>
        <v>80.561016949152545</v>
      </c>
      <c r="D38" s="2039">
        <f>'Avg.Weighted Manufacturer Price'!F16</f>
        <v>78.128888213851766</v>
      </c>
      <c r="E38" s="2059">
        <f>'Avg.Weighted Manufacturer Price'!F25</f>
        <v>77.474995001098407</v>
      </c>
      <c r="F38" s="2040">
        <f>'Avg.Weighted Manufacturer Price'!F34</f>
        <v>73.278874137354507</v>
      </c>
      <c r="G38" s="2041">
        <f>'Avg.Weighted Manufacturer Price'!F43</f>
        <v>72.87782346630911</v>
      </c>
    </row>
    <row r="39" spans="2:25" ht="16" x14ac:dyDescent="0.2">
      <c r="B39" s="44" t="s">
        <v>733</v>
      </c>
      <c r="C39" s="2060" t="e">
        <f ca="1">C38*C37</f>
        <v>#NAME?</v>
      </c>
      <c r="D39" s="2060" t="e">
        <f ca="1">D38*D37</f>
        <v>#NAME?</v>
      </c>
      <c r="E39" s="2060" t="e">
        <f ca="1">E38*E37</f>
        <v>#NAME?</v>
      </c>
      <c r="F39" s="2060" t="e">
        <f ca="1">F38*F37</f>
        <v>#NAME?</v>
      </c>
      <c r="G39" s="2061" t="e">
        <f ca="1">G38*G37</f>
        <v>#NAME?</v>
      </c>
    </row>
  </sheetData>
  <phoneticPr fontId="59" type="noConversion"/>
  <hyperlinks>
    <hyperlink ref="A1" location="index!A1" display="Index"/>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U108"/>
  <sheetViews>
    <sheetView showGridLines="0" topLeftCell="B26" workbookViewId="0">
      <selection activeCell="B1" sqref="B1"/>
    </sheetView>
  </sheetViews>
  <sheetFormatPr baseColWidth="10" defaultColWidth="8.83203125" defaultRowHeight="16" x14ac:dyDescent="0.2"/>
  <cols>
    <col min="1" max="1" width="8.5" style="745" customWidth="1"/>
    <col min="2" max="2" width="36.6640625" style="745" customWidth="1"/>
    <col min="3" max="3" width="13.83203125" style="745" customWidth="1"/>
    <col min="4" max="4" width="15.6640625" style="745" customWidth="1"/>
    <col min="5" max="5" width="14.6640625" style="745" customWidth="1"/>
    <col min="6" max="6" width="13.6640625" style="745" customWidth="1"/>
    <col min="7" max="7" width="14.6640625" style="745" customWidth="1"/>
    <col min="8" max="8" width="13.83203125" style="745" customWidth="1"/>
    <col min="9" max="9" width="12.1640625" style="745" customWidth="1"/>
    <col min="10" max="10" width="20.33203125" style="745" customWidth="1"/>
    <col min="11" max="11" width="15.1640625" style="745" customWidth="1"/>
    <col min="12" max="12" width="20.1640625" style="745" bestFit="1" customWidth="1"/>
    <col min="13" max="13" width="18.6640625" style="745" customWidth="1"/>
    <col min="14" max="14" width="14.6640625" style="745" customWidth="1"/>
    <col min="15" max="15" width="13.1640625" style="745" customWidth="1"/>
    <col min="16" max="16" width="13.33203125" style="745" customWidth="1"/>
    <col min="17" max="17" width="8.83203125" style="745"/>
    <col min="18" max="18" width="18.1640625" style="745" bestFit="1" customWidth="1"/>
    <col min="19" max="19" width="17.83203125" style="745" bestFit="1" customWidth="1"/>
    <col min="20" max="20" width="20.1640625" style="745" bestFit="1" customWidth="1"/>
    <col min="21" max="21" width="17.83203125" style="745" bestFit="1" customWidth="1"/>
    <col min="22" max="22" width="12.6640625" style="745" bestFit="1" customWidth="1"/>
    <col min="23" max="23" width="14.6640625" style="745" customWidth="1"/>
    <col min="24" max="24" width="13.5" style="745" customWidth="1"/>
    <col min="25" max="25" width="15.33203125" style="745" customWidth="1"/>
    <col min="26" max="26" width="8.83203125" style="745"/>
    <col min="27" max="27" width="12.33203125" style="745" customWidth="1"/>
    <col min="28" max="28" width="13" style="745" customWidth="1"/>
    <col min="29" max="29" width="12.83203125" style="745" bestFit="1" customWidth="1"/>
    <col min="30" max="30" width="11.33203125" style="745" customWidth="1"/>
    <col min="31" max="31" width="12.5" style="745" bestFit="1" customWidth="1"/>
    <col min="32" max="32" width="13.1640625" style="745" bestFit="1" customWidth="1"/>
    <col min="33" max="33" width="11.1640625" style="745" customWidth="1"/>
    <col min="34" max="34" width="11.33203125" style="745" customWidth="1"/>
    <col min="35" max="35" width="14.33203125" style="745" customWidth="1"/>
    <col min="36" max="16384" width="8.83203125" style="745"/>
  </cols>
  <sheetData>
    <row r="1" spans="1:21" ht="17" thickBot="1" x14ac:dyDescent="0.25">
      <c r="A1" s="1771" t="s">
        <v>38</v>
      </c>
      <c r="B1" s="2693" t="s">
        <v>1515</v>
      </c>
    </row>
    <row r="2" spans="1:21" x14ac:dyDescent="0.2">
      <c r="A2" s="1771"/>
      <c r="B2" s="2674" t="s">
        <v>1514</v>
      </c>
      <c r="C2" s="2675"/>
      <c r="D2" s="2675"/>
      <c r="E2" s="2675"/>
      <c r="F2" s="2675"/>
      <c r="G2" s="2675"/>
      <c r="H2" s="2675"/>
      <c r="I2" s="2675"/>
      <c r="J2" s="2675"/>
      <c r="K2" s="2676"/>
    </row>
    <row r="3" spans="1:21" x14ac:dyDescent="0.2">
      <c r="A3" s="1771"/>
      <c r="B3" s="2677" t="s">
        <v>1513</v>
      </c>
      <c r="C3" s="776"/>
      <c r="D3" s="776"/>
      <c r="E3" s="776"/>
      <c r="F3" s="776"/>
      <c r="G3" s="776"/>
      <c r="H3" s="776"/>
      <c r="I3" s="776"/>
      <c r="J3" s="776"/>
      <c r="K3" s="2678"/>
    </row>
    <row r="4" spans="1:21" ht="17" thickBot="1" x14ac:dyDescent="0.25">
      <c r="B4" s="2679" t="s">
        <v>1512</v>
      </c>
      <c r="C4" s="2680"/>
      <c r="D4" s="2680"/>
      <c r="E4" s="2680"/>
      <c r="F4" s="2680"/>
      <c r="G4" s="2680"/>
      <c r="H4" s="2680"/>
      <c r="I4" s="2680"/>
      <c r="J4" s="2680"/>
      <c r="K4" s="2681"/>
    </row>
    <row r="5" spans="1:21" ht="29.25" customHeight="1" thickTop="1" thickBot="1" x14ac:dyDescent="0.25">
      <c r="B5" s="2668" t="s">
        <v>777</v>
      </c>
      <c r="C5" s="2669" t="s">
        <v>71</v>
      </c>
      <c r="D5" s="2670" t="s">
        <v>72</v>
      </c>
      <c r="E5" s="2670" t="s">
        <v>73</v>
      </c>
      <c r="F5" s="2670" t="s">
        <v>74</v>
      </c>
      <c r="G5" s="2671" t="s">
        <v>75</v>
      </c>
      <c r="J5" s="2672" t="s">
        <v>778</v>
      </c>
      <c r="K5" s="2673" t="s">
        <v>779</v>
      </c>
      <c r="L5" s="2187" t="s">
        <v>780</v>
      </c>
      <c r="M5" s="2188" t="s">
        <v>781</v>
      </c>
    </row>
    <row r="6" spans="1:21" ht="16.5" customHeight="1" x14ac:dyDescent="0.2">
      <c r="B6" s="2176" t="s">
        <v>782</v>
      </c>
      <c r="C6" s="1589">
        <f>'Avg.Weighted Manufacturer Price'!H9</f>
        <v>127</v>
      </c>
      <c r="D6" s="1590">
        <f>'Avg.Weighted Manufacturer Price'!H16</f>
        <v>127</v>
      </c>
      <c r="E6" s="1590">
        <f>'Avg.Weighted Manufacturer Price'!H25</f>
        <v>117</v>
      </c>
      <c r="F6" s="1590">
        <f>'Avg.Weighted Manufacturer Price'!H34</f>
        <v>116.85714285714286</v>
      </c>
      <c r="G6" s="1591">
        <f>'Avg.Weighted Manufacturer Price'!H43</f>
        <v>116.85714285714286</v>
      </c>
      <c r="J6" s="1614" t="s">
        <v>783</v>
      </c>
      <c r="K6" s="1615">
        <v>2.3699999999999999E-2</v>
      </c>
      <c r="L6" s="1616">
        <v>2.5899999999999999E-2</v>
      </c>
      <c r="M6" s="1617">
        <f>SUM(K6:L6)</f>
        <v>4.9599999999999998E-2</v>
      </c>
    </row>
    <row r="7" spans="1:21" ht="18.75" customHeight="1" x14ac:dyDescent="0.2">
      <c r="B7" s="1592" t="s">
        <v>784</v>
      </c>
      <c r="C7" s="1593">
        <f>'IMC References'!C3</f>
        <v>8060000</v>
      </c>
      <c r="D7" s="1594">
        <f>'IMC References'!D3</f>
        <v>8288285.9355566287</v>
      </c>
      <c r="E7" s="1594">
        <f>'IMC References'!E3</f>
        <v>8519099.4789626393</v>
      </c>
      <c r="F7" s="1594">
        <f>'IMC References'!F3</f>
        <v>8744113.0776918661</v>
      </c>
      <c r="G7" s="1595">
        <f>'IMC References'!G3</f>
        <v>8958888.0618449114</v>
      </c>
      <c r="J7" s="1618" t="s">
        <v>785</v>
      </c>
      <c r="K7" s="1619">
        <v>1.7500000000000002E-2</v>
      </c>
      <c r="L7" s="1620">
        <v>1.83E-2</v>
      </c>
      <c r="M7" s="1621">
        <f>SUM(K7:L7)</f>
        <v>3.5799999999999998E-2</v>
      </c>
    </row>
    <row r="8" spans="1:21" x14ac:dyDescent="0.2">
      <c r="B8" s="1596" t="s">
        <v>786</v>
      </c>
      <c r="C8" s="1597">
        <v>1.9599999999999999E-2</v>
      </c>
      <c r="D8" s="1597">
        <v>1.9599999999999999E-2</v>
      </c>
      <c r="E8" s="1598">
        <v>1.9599999999999999E-2</v>
      </c>
      <c r="F8" s="1598">
        <v>1.9599999999999999E-2</v>
      </c>
      <c r="G8" s="1599">
        <v>1.9599999999999999E-2</v>
      </c>
      <c r="J8"/>
      <c r="K8" s="1649"/>
      <c r="L8" s="1650"/>
      <c r="M8" s="1651"/>
    </row>
    <row r="9" spans="1:21" x14ac:dyDescent="0.2">
      <c r="B9" s="1596" t="s">
        <v>787</v>
      </c>
      <c r="C9" s="1600">
        <f>C8*0.8</f>
        <v>1.5679999999999999E-2</v>
      </c>
      <c r="D9" s="1601">
        <f>D8*0.8</f>
        <v>1.5679999999999999E-2</v>
      </c>
      <c r="E9" s="1602">
        <f>E8*0.8</f>
        <v>1.5679999999999999E-2</v>
      </c>
      <c r="F9" s="1602">
        <f>F8*0.8</f>
        <v>1.5679999999999999E-2</v>
      </c>
      <c r="G9" s="1603">
        <f>G8*0.8</f>
        <v>1.5679999999999999E-2</v>
      </c>
      <c r="J9" s="2192" t="s">
        <v>788</v>
      </c>
    </row>
    <row r="10" spans="1:21" x14ac:dyDescent="0.2">
      <c r="B10" s="1596" t="s">
        <v>789</v>
      </c>
      <c r="C10" s="1597">
        <v>0.24510000000000001</v>
      </c>
      <c r="D10" s="1597">
        <v>0.24510000000000001</v>
      </c>
      <c r="E10" s="1598">
        <v>0.24510000000000001</v>
      </c>
      <c r="F10" s="1598">
        <v>0.24510000000000001</v>
      </c>
      <c r="G10" s="1599">
        <v>0.24510000000000001</v>
      </c>
      <c r="K10"/>
      <c r="L10"/>
      <c r="R10" s="1544" t="s">
        <v>790</v>
      </c>
      <c r="S10" s="1493">
        <v>27</v>
      </c>
    </row>
    <row r="11" spans="1:21" x14ac:dyDescent="0.2">
      <c r="B11" s="1596" t="s">
        <v>791</v>
      </c>
      <c r="C11" s="1600">
        <f>C10*0.3</f>
        <v>7.3529999999999998E-2</v>
      </c>
      <c r="D11" s="1600">
        <f>D10*0.3</f>
        <v>7.3529999999999998E-2</v>
      </c>
      <c r="E11" s="1604">
        <f>E10*0.3</f>
        <v>7.3529999999999998E-2</v>
      </c>
      <c r="F11" s="1604">
        <f>F10*0.3</f>
        <v>7.3529999999999998E-2</v>
      </c>
      <c r="G11" s="1605">
        <f>G10*0.3</f>
        <v>7.3529999999999998E-2</v>
      </c>
      <c r="J11" s="1521" t="s">
        <v>792</v>
      </c>
      <c r="K11" s="1627" t="s">
        <v>793</v>
      </c>
      <c r="R11" s="1545" t="s">
        <v>794</v>
      </c>
      <c r="S11" s="1112">
        <v>24</v>
      </c>
    </row>
    <row r="12" spans="1:21" x14ac:dyDescent="0.2">
      <c r="B12" s="1606" t="s">
        <v>795</v>
      </c>
      <c r="C12" s="1607"/>
      <c r="D12" s="1607"/>
      <c r="E12" s="1608">
        <v>0.109</v>
      </c>
      <c r="F12" s="1608">
        <v>0.109</v>
      </c>
      <c r="G12" s="1024">
        <v>0.109</v>
      </c>
      <c r="H12" s="745">
        <v>8.9209999999999998E-2</v>
      </c>
      <c r="I12" s="745" t="e">
        <f ca="1">(E13-D13)/D13</f>
        <v>#NAME?</v>
      </c>
      <c r="K12" s="1633" t="s">
        <v>796</v>
      </c>
    </row>
    <row r="13" spans="1:21" x14ac:dyDescent="0.2">
      <c r="B13" s="1609" t="s">
        <v>797</v>
      </c>
      <c r="C13" s="2682" t="e">
        <f ca="1">RiskNormal(D25,E25,RiskCorrmat(NewMatrix1,2))</f>
        <v>#NAME?</v>
      </c>
      <c r="D13" s="2682" t="e">
        <f ca="1">C13*1</f>
        <v>#NAME?</v>
      </c>
      <c r="E13" s="2682" t="e">
        <f ca="1">D13*(1+H13)</f>
        <v>#NAME?</v>
      </c>
      <c r="F13" s="2682" t="e">
        <f ca="1">E13*1</f>
        <v>#NAME?</v>
      </c>
      <c r="G13" s="2683" t="e">
        <f ca="1">F13*1</f>
        <v>#NAME?</v>
      </c>
      <c r="H13" s="745">
        <v>0.22183611702723913</v>
      </c>
      <c r="J13" s="1634" t="s">
        <v>798</v>
      </c>
      <c r="K13" s="1638" t="s">
        <v>799</v>
      </c>
      <c r="L13" s="1538" t="s">
        <v>800</v>
      </c>
      <c r="M13" s="1538" t="s">
        <v>801</v>
      </c>
      <c r="N13" s="1538" t="s">
        <v>802</v>
      </c>
      <c r="O13" s="1538" t="s">
        <v>803</v>
      </c>
      <c r="P13" s="1539" t="s">
        <v>804</v>
      </c>
      <c r="R13" s="1562" t="s">
        <v>805</v>
      </c>
      <c r="S13" s="1563" t="s">
        <v>806</v>
      </c>
      <c r="T13" s="1566" t="s">
        <v>807</v>
      </c>
      <c r="U13" s="1568" t="s">
        <v>128</v>
      </c>
    </row>
    <row r="14" spans="1:21" x14ac:dyDescent="0.2">
      <c r="B14" s="1610" t="s">
        <v>808</v>
      </c>
      <c r="C14" s="1593">
        <f>'IMC References'!C7</f>
        <v>12020000</v>
      </c>
      <c r="D14" s="1594">
        <f>'IMC References'!D7</f>
        <v>12336998.865877114</v>
      </c>
      <c r="E14" s="1594">
        <f>'IMC References'!E7</f>
        <v>12365192.677053036</v>
      </c>
      <c r="F14" s="1594">
        <f>'IMC References'!F7</f>
        <v>12348150.765320711</v>
      </c>
      <c r="G14" s="1595">
        <f>'IMC References'!G7</f>
        <v>12279462.670491993</v>
      </c>
      <c r="J14" s="1564" t="s">
        <v>809</v>
      </c>
      <c r="K14" s="1217">
        <v>1</v>
      </c>
      <c r="L14" s="1217">
        <v>7</v>
      </c>
      <c r="M14" s="1217">
        <v>5</v>
      </c>
      <c r="N14" s="1217">
        <v>10</v>
      </c>
      <c r="O14" s="1528">
        <v>2</v>
      </c>
      <c r="P14" s="1496">
        <v>25</v>
      </c>
      <c r="R14" s="1205">
        <f>N14+O14</f>
        <v>12</v>
      </c>
      <c r="S14" s="1218">
        <f>R14/$S$10</f>
        <v>0.44444444444444442</v>
      </c>
      <c r="T14" s="1386">
        <v>0.04</v>
      </c>
      <c r="U14" s="1509">
        <f>S14*T14</f>
        <v>1.7777777777777778E-2</v>
      </c>
    </row>
    <row r="15" spans="1:21" x14ac:dyDescent="0.2">
      <c r="B15" s="1611" t="s">
        <v>786</v>
      </c>
      <c r="C15" s="1597">
        <v>0.16669999999999999</v>
      </c>
      <c r="D15" s="1597">
        <v>0.16669999999999999</v>
      </c>
      <c r="E15" s="1598">
        <v>0.16669999999999999</v>
      </c>
      <c r="F15" s="1598">
        <v>0.16669999999999999</v>
      </c>
      <c r="G15" s="1599">
        <v>0.16669999999999999</v>
      </c>
      <c r="J15" s="1565" t="s">
        <v>810</v>
      </c>
      <c r="K15" s="1217">
        <v>4</v>
      </c>
      <c r="L15" s="1217">
        <v>22</v>
      </c>
      <c r="M15" s="1217">
        <v>15</v>
      </c>
      <c r="N15" s="1217">
        <v>11</v>
      </c>
      <c r="O15" s="1528"/>
      <c r="P15" s="1496">
        <v>52</v>
      </c>
      <c r="R15" s="1205">
        <f>N15+O15</f>
        <v>11</v>
      </c>
      <c r="S15" s="1218">
        <f>R15/$S$10</f>
        <v>0.40740740740740738</v>
      </c>
      <c r="T15" s="1386">
        <v>0.02</v>
      </c>
      <c r="U15" s="1509">
        <f t="shared" ref="U15:U16" si="0">S15*T15</f>
        <v>8.1481481481481474E-3</v>
      </c>
    </row>
    <row r="16" spans="1:21" x14ac:dyDescent="0.2">
      <c r="B16" s="1596" t="s">
        <v>787</v>
      </c>
      <c r="C16" s="1600">
        <f>C15*0.8</f>
        <v>0.13336000000000001</v>
      </c>
      <c r="D16" s="1601">
        <f>D15*0.8</f>
        <v>0.13336000000000001</v>
      </c>
      <c r="E16" s="1602">
        <f>E15*0.8</f>
        <v>0.13336000000000001</v>
      </c>
      <c r="F16" s="1602">
        <f>F15*0.8</f>
        <v>0.13336000000000001</v>
      </c>
      <c r="G16" s="1603">
        <f>G15*0.8</f>
        <v>0.13336000000000001</v>
      </c>
      <c r="J16" s="1565" t="s">
        <v>811</v>
      </c>
      <c r="K16" s="1217">
        <v>6</v>
      </c>
      <c r="L16" s="1217">
        <v>8</v>
      </c>
      <c r="M16" s="1217">
        <v>7</v>
      </c>
      <c r="N16" s="1217">
        <v>4</v>
      </c>
      <c r="O16" s="1528"/>
      <c r="P16" s="1496">
        <v>25</v>
      </c>
      <c r="R16" s="1211">
        <f>N16+O16</f>
        <v>4</v>
      </c>
      <c r="S16" s="1530">
        <f>R16/$S$10</f>
        <v>0.14814814814814814</v>
      </c>
      <c r="T16" s="1504">
        <v>0</v>
      </c>
      <c r="U16" s="1509">
        <f t="shared" si="0"/>
        <v>0</v>
      </c>
    </row>
    <row r="17" spans="2:21" x14ac:dyDescent="0.2">
      <c r="B17" s="1596" t="s">
        <v>789</v>
      </c>
      <c r="C17" s="1597">
        <v>0.33329999999999999</v>
      </c>
      <c r="D17" s="1597">
        <v>0.33329999999999999</v>
      </c>
      <c r="E17" s="1598">
        <v>0.33329999999999999</v>
      </c>
      <c r="F17" s="1598">
        <v>0.33329999999999999</v>
      </c>
      <c r="G17" s="1599">
        <v>0.33329999999999999</v>
      </c>
      <c r="J17" s="844" t="s">
        <v>804</v>
      </c>
      <c r="K17" s="1588">
        <v>11</v>
      </c>
      <c r="L17" s="1588">
        <v>37</v>
      </c>
      <c r="M17" s="1588">
        <v>27</v>
      </c>
      <c r="N17" s="1588">
        <v>25</v>
      </c>
      <c r="O17" s="1583">
        <v>2</v>
      </c>
      <c r="P17" s="1637">
        <v>102</v>
      </c>
      <c r="T17" s="1576" t="s">
        <v>128</v>
      </c>
      <c r="U17" s="1622">
        <f>SUM(U14:U16)</f>
        <v>2.5925925925925925E-2</v>
      </c>
    </row>
    <row r="18" spans="2:21" x14ac:dyDescent="0.2">
      <c r="B18" s="1596" t="s">
        <v>791</v>
      </c>
      <c r="C18" s="1600">
        <f>C17*0.3</f>
        <v>9.9989999999999996E-2</v>
      </c>
      <c r="D18" s="1601">
        <f>D17*0.3</f>
        <v>9.9989999999999996E-2</v>
      </c>
      <c r="E18" s="1612">
        <f>E17*0.3</f>
        <v>9.9989999999999996E-2</v>
      </c>
      <c r="F18" s="1612">
        <f>F17*0.3</f>
        <v>9.9989999999999996E-2</v>
      </c>
      <c r="G18" s="1605">
        <f>G17*0.3</f>
        <v>9.9989999999999996E-2</v>
      </c>
    </row>
    <row r="19" spans="2:21" x14ac:dyDescent="0.2">
      <c r="B19" s="1606" t="s">
        <v>795</v>
      </c>
      <c r="C19" s="1607"/>
      <c r="D19" s="1607"/>
      <c r="E19" s="1608">
        <v>0.28849999999999998</v>
      </c>
      <c r="F19" s="1608">
        <v>0.28849999999999998</v>
      </c>
      <c r="G19" s="1024">
        <v>0.28849999999999998</v>
      </c>
      <c r="J19" s="1567" t="s">
        <v>794</v>
      </c>
      <c r="K19" s="1627" t="s">
        <v>793</v>
      </c>
    </row>
    <row r="20" spans="2:21" ht="18" thickTop="1" thickBot="1" x14ac:dyDescent="0.25">
      <c r="B20" s="1613" t="s">
        <v>812</v>
      </c>
      <c r="C20" s="2682" t="e">
        <f ca="1">RiskTriang(D23,E23,F23,RiskCorrmat(NewMatrix1,1))</f>
        <v>#NAME?</v>
      </c>
      <c r="D20" s="2682" t="e">
        <f ca="1">C20*1</f>
        <v>#NAME?</v>
      </c>
      <c r="E20" s="2682" t="e">
        <f ca="1">(1+H21)*D20</f>
        <v>#NAME?</v>
      </c>
      <c r="F20" s="2682" t="e">
        <f ca="1">E20*1</f>
        <v>#NAME?</v>
      </c>
      <c r="G20" s="2683" t="e">
        <f ca="1">F20*1</f>
        <v>#NAME?</v>
      </c>
      <c r="H20" s="745">
        <v>0.23335</v>
      </c>
      <c r="I20" s="745" t="e">
        <f ca="1">(E20-D20)/D20</f>
        <v>#NAME?</v>
      </c>
      <c r="K20" s="1633" t="s">
        <v>796</v>
      </c>
    </row>
    <row r="21" spans="2:21" ht="18" thickTop="1" thickBot="1" x14ac:dyDescent="0.25">
      <c r="B21" s="2180" t="s">
        <v>813</v>
      </c>
      <c r="C21" s="2177" t="e">
        <f ca="1">C20+C13</f>
        <v>#NAME?</v>
      </c>
      <c r="D21" s="2684" t="e">
        <f ca="1">D20+D13</f>
        <v>#NAME?</v>
      </c>
      <c r="E21" s="2684" t="e">
        <f ca="1">E20+E13</f>
        <v>#NAME?</v>
      </c>
      <c r="F21" s="2684" t="e">
        <f ca="1">F20+F13</f>
        <v>#NAME?</v>
      </c>
      <c r="G21" s="2179" t="e">
        <f ca="1">G13+G20</f>
        <v>#NAME?</v>
      </c>
      <c r="H21" s="745">
        <v>0.23634026140989919</v>
      </c>
      <c r="J21" s="1634" t="s">
        <v>798</v>
      </c>
      <c r="K21" s="1548" t="s">
        <v>799</v>
      </c>
      <c r="L21" s="1549" t="s">
        <v>800</v>
      </c>
      <c r="M21" s="1549" t="s">
        <v>801</v>
      </c>
      <c r="N21" s="1549" t="s">
        <v>802</v>
      </c>
      <c r="O21" s="1574" t="s">
        <v>803</v>
      </c>
      <c r="P21" s="1550" t="s">
        <v>804</v>
      </c>
      <c r="R21" s="1561" t="s">
        <v>805</v>
      </c>
      <c r="S21" s="1549" t="s">
        <v>806</v>
      </c>
      <c r="T21" s="1574" t="s">
        <v>807</v>
      </c>
      <c r="U21" s="1550" t="s">
        <v>128</v>
      </c>
    </row>
    <row r="22" spans="2:21" ht="18" thickTop="1" thickBot="1" x14ac:dyDescent="0.25">
      <c r="B22"/>
      <c r="C22" t="s">
        <v>1029</v>
      </c>
      <c r="D22" s="2685" t="s">
        <v>1498</v>
      </c>
      <c r="E22" s="2608" t="s">
        <v>1496</v>
      </c>
      <c r="F22" s="2687" t="s">
        <v>1499</v>
      </c>
      <c r="G22"/>
      <c r="J22" s="1659" t="s">
        <v>809</v>
      </c>
      <c r="K22" s="1217"/>
      <c r="L22" s="1217">
        <v>3</v>
      </c>
      <c r="M22" s="1217">
        <v>2</v>
      </c>
      <c r="N22" s="1217">
        <v>7</v>
      </c>
      <c r="O22" s="1528">
        <v>2</v>
      </c>
      <c r="P22" s="1496">
        <v>14</v>
      </c>
      <c r="R22" s="1205">
        <f>O22+N22</f>
        <v>9</v>
      </c>
      <c r="S22" s="1218">
        <f>R22/$S$11</f>
        <v>0.375</v>
      </c>
      <c r="T22" s="1386">
        <v>0.04</v>
      </c>
      <c r="U22" s="1509">
        <f>S22*T22</f>
        <v>1.4999999999999999E-2</v>
      </c>
    </row>
    <row r="23" spans="2:21" ht="18" thickTop="1" thickBot="1" x14ac:dyDescent="0.25">
      <c r="B23" s="2190" t="s">
        <v>814</v>
      </c>
      <c r="C23"/>
      <c r="D23" s="2686">
        <v>0.19834750000000001</v>
      </c>
      <c r="E23" s="2688">
        <v>0.23335</v>
      </c>
      <c r="F23" s="2689">
        <v>0.25085125000000003</v>
      </c>
      <c r="G23"/>
      <c r="J23" s="1660" t="s">
        <v>810</v>
      </c>
      <c r="K23" s="1217">
        <v>1</v>
      </c>
      <c r="L23" s="1217">
        <v>3</v>
      </c>
      <c r="M23" s="1217">
        <v>8</v>
      </c>
      <c r="N23" s="1217">
        <v>3</v>
      </c>
      <c r="O23" s="1528">
        <v>1</v>
      </c>
      <c r="P23" s="1496">
        <v>16</v>
      </c>
      <c r="R23" s="1205">
        <f>O23+N23</f>
        <v>4</v>
      </c>
      <c r="S23" s="1218">
        <f>R23/$S$11</f>
        <v>0.16666666666666666</v>
      </c>
      <c r="T23" s="1386">
        <v>0.02</v>
      </c>
      <c r="U23" s="1509">
        <f t="shared" ref="U23:U24" si="1">S23*T23</f>
        <v>3.3333333333333331E-3</v>
      </c>
    </row>
    <row r="24" spans="2:21" ht="17" thickBot="1" x14ac:dyDescent="0.25">
      <c r="B24" s="2191" t="s">
        <v>815</v>
      </c>
      <c r="C24" t="s">
        <v>792</v>
      </c>
      <c r="D24" s="2685" t="s">
        <v>1496</v>
      </c>
      <c r="E24" s="2608" t="s">
        <v>1497</v>
      </c>
      <c r="F24" s="2687"/>
      <c r="G24"/>
      <c r="J24" s="1660" t="s">
        <v>811</v>
      </c>
      <c r="K24" s="1217">
        <v>1</v>
      </c>
      <c r="L24" s="1217">
        <v>2</v>
      </c>
      <c r="M24" s="1217">
        <v>4</v>
      </c>
      <c r="N24" s="1217">
        <v>6</v>
      </c>
      <c r="O24" s="1528">
        <v>5</v>
      </c>
      <c r="P24" s="1496">
        <v>18</v>
      </c>
      <c r="R24" s="1211">
        <f>O24+N24</f>
        <v>11</v>
      </c>
      <c r="S24" s="1530">
        <f>R24/$S$11</f>
        <v>0.45833333333333331</v>
      </c>
      <c r="T24" s="1504">
        <v>0</v>
      </c>
      <c r="U24" s="1509">
        <f t="shared" si="1"/>
        <v>0</v>
      </c>
    </row>
    <row r="25" spans="2:21" ht="18" thickTop="1" thickBot="1" x14ac:dyDescent="0.25">
      <c r="D25" s="2690">
        <v>8.9209999999999998E-2</v>
      </c>
      <c r="E25" s="2691">
        <v>8.9210000000000001E-3</v>
      </c>
      <c r="F25" s="2692"/>
      <c r="J25" s="1661" t="s">
        <v>804</v>
      </c>
      <c r="K25" s="1588">
        <v>2</v>
      </c>
      <c r="L25" s="1588">
        <v>8</v>
      </c>
      <c r="M25" s="1588">
        <v>14</v>
      </c>
      <c r="N25" s="1588">
        <v>16</v>
      </c>
      <c r="O25" s="1583">
        <v>8</v>
      </c>
      <c r="P25" s="1637">
        <v>48</v>
      </c>
      <c r="T25" s="1575" t="s">
        <v>128</v>
      </c>
      <c r="U25" s="1622">
        <f>SUM(U22:U24)</f>
        <v>1.8333333333333333E-2</v>
      </c>
    </row>
    <row r="26" spans="2:21" ht="18" thickTop="1" thickBot="1" x14ac:dyDescent="0.25">
      <c r="B26" s="2790" t="s">
        <v>816</v>
      </c>
      <c r="C26" s="2791"/>
      <c r="D26"/>
    </row>
    <row r="27" spans="2:21" x14ac:dyDescent="0.2">
      <c r="B27" s="1558" t="s">
        <v>817</v>
      </c>
      <c r="C27" s="1638" t="s">
        <v>799</v>
      </c>
      <c r="D27" s="1538" t="s">
        <v>800</v>
      </c>
      <c r="E27" s="1538" t="s">
        <v>801</v>
      </c>
      <c r="F27" s="1538" t="s">
        <v>802</v>
      </c>
      <c r="G27" s="1538" t="s">
        <v>803</v>
      </c>
      <c r="H27" s="1539" t="s">
        <v>804</v>
      </c>
      <c r="I27" s="1653"/>
      <c r="J27" s="2193" t="s">
        <v>818</v>
      </c>
      <c r="K27" s="1652"/>
      <c r="L27" s="1652"/>
      <c r="M27" s="1652"/>
      <c r="N27" s="1652"/>
      <c r="O27" s="1652"/>
      <c r="P27" s="1652"/>
      <c r="Q27" s="1652"/>
      <c r="R27" s="1652"/>
      <c r="S27" s="1652"/>
      <c r="T27" s="1652"/>
      <c r="U27" s="1652"/>
    </row>
    <row r="28" spans="2:21" x14ac:dyDescent="0.2">
      <c r="B28" s="1531">
        <v>127</v>
      </c>
      <c r="C28" s="1217">
        <v>4</v>
      </c>
      <c r="D28" s="1217">
        <v>16</v>
      </c>
      <c r="E28" s="1217">
        <v>11</v>
      </c>
      <c r="F28" s="1217">
        <v>7</v>
      </c>
      <c r="G28" s="1217"/>
      <c r="H28" s="1496">
        <v>38</v>
      </c>
      <c r="I28" s="1217"/>
      <c r="K28"/>
      <c r="L28"/>
    </row>
    <row r="29" spans="2:21" x14ac:dyDescent="0.2">
      <c r="B29" s="1531">
        <v>140</v>
      </c>
      <c r="C29" s="1217">
        <v>1</v>
      </c>
      <c r="D29" s="1217">
        <v>4</v>
      </c>
      <c r="E29" s="1217">
        <v>9</v>
      </c>
      <c r="F29" s="1217">
        <v>5</v>
      </c>
      <c r="G29" s="1217">
        <v>1</v>
      </c>
      <c r="H29" s="1496">
        <v>20</v>
      </c>
      <c r="I29" s="1217"/>
      <c r="J29" s="1521" t="s">
        <v>792</v>
      </c>
      <c r="K29" s="1627" t="s">
        <v>819</v>
      </c>
    </row>
    <row r="30" spans="2:21" x14ac:dyDescent="0.2">
      <c r="B30" s="1531">
        <v>153</v>
      </c>
      <c r="C30" s="1217">
        <v>4</v>
      </c>
      <c r="D30" s="1217">
        <v>14</v>
      </c>
      <c r="E30" s="1217">
        <v>4</v>
      </c>
      <c r="F30" s="1217">
        <v>9</v>
      </c>
      <c r="G30" s="1217"/>
      <c r="H30" s="1496">
        <v>31</v>
      </c>
      <c r="I30" s="1217"/>
      <c r="K30" s="1633" t="s">
        <v>796</v>
      </c>
      <c r="R30" s="832"/>
      <c r="S30" s="832"/>
      <c r="T30" s="832"/>
      <c r="U30" s="832"/>
    </row>
    <row r="31" spans="2:21" x14ac:dyDescent="0.2">
      <c r="B31" s="1531">
        <v>166</v>
      </c>
      <c r="C31" s="1217">
        <v>2</v>
      </c>
      <c r="D31" s="1217">
        <v>1</v>
      </c>
      <c r="E31" s="1217">
        <v>2</v>
      </c>
      <c r="F31" s="1217">
        <v>2</v>
      </c>
      <c r="G31" s="1217">
        <v>1</v>
      </c>
      <c r="H31" s="1496">
        <v>8</v>
      </c>
      <c r="I31" s="1217"/>
      <c r="J31" s="1625" t="s">
        <v>798</v>
      </c>
      <c r="K31" s="1538" t="s">
        <v>799</v>
      </c>
      <c r="L31" s="1538" t="s">
        <v>800</v>
      </c>
      <c r="M31" s="1538" t="s">
        <v>801</v>
      </c>
      <c r="N31" s="1538" t="s">
        <v>802</v>
      </c>
      <c r="O31" s="1569" t="s">
        <v>803</v>
      </c>
      <c r="P31" s="1571" t="s">
        <v>804</v>
      </c>
      <c r="R31" s="1562" t="s">
        <v>805</v>
      </c>
      <c r="S31" s="1563" t="s">
        <v>806</v>
      </c>
      <c r="T31" s="1566" t="s">
        <v>807</v>
      </c>
      <c r="U31" s="1568" t="s">
        <v>128</v>
      </c>
    </row>
    <row r="32" spans="2:21" x14ac:dyDescent="0.2">
      <c r="B32" s="1555">
        <v>179</v>
      </c>
      <c r="C32" s="1556"/>
      <c r="D32" s="1556">
        <v>2</v>
      </c>
      <c r="E32" s="1556">
        <v>1</v>
      </c>
      <c r="F32" s="1556">
        <v>2</v>
      </c>
      <c r="G32" s="1556"/>
      <c r="H32" s="1557">
        <v>5</v>
      </c>
      <c r="I32" s="1217"/>
      <c r="J32" s="1564" t="s">
        <v>809</v>
      </c>
      <c r="K32" s="1217"/>
      <c r="L32" s="1217">
        <v>5</v>
      </c>
      <c r="M32" s="1217">
        <v>4</v>
      </c>
      <c r="N32" s="1217">
        <v>8</v>
      </c>
      <c r="O32" s="1504">
        <v>2</v>
      </c>
      <c r="P32" s="1647">
        <v>19</v>
      </c>
      <c r="R32" s="1205">
        <f>N32+O32</f>
        <v>10</v>
      </c>
      <c r="S32" s="1218">
        <f>R32/$S$10</f>
        <v>0.37037037037037035</v>
      </c>
      <c r="T32" s="1386">
        <v>0.04</v>
      </c>
      <c r="U32" s="1573">
        <f>S32*T32</f>
        <v>1.4814814814814814E-2</v>
      </c>
    </row>
    <row r="33" spans="2:21" x14ac:dyDescent="0.2">
      <c r="B33" s="1552" t="s">
        <v>804</v>
      </c>
      <c r="C33" s="1553">
        <v>11</v>
      </c>
      <c r="D33" s="1553">
        <v>37</v>
      </c>
      <c r="E33" s="1553">
        <v>27</v>
      </c>
      <c r="F33" s="1553">
        <v>25</v>
      </c>
      <c r="G33" s="1553">
        <v>2</v>
      </c>
      <c r="H33" s="1554">
        <v>102</v>
      </c>
      <c r="I33"/>
      <c r="J33" s="1565" t="s">
        <v>810</v>
      </c>
      <c r="K33" s="1217">
        <v>4</v>
      </c>
      <c r="L33" s="1217">
        <v>23</v>
      </c>
      <c r="M33" s="1217">
        <v>16</v>
      </c>
      <c r="N33" s="1217">
        <v>12</v>
      </c>
      <c r="O33" s="1504"/>
      <c r="P33" s="1647">
        <v>55</v>
      </c>
      <c r="R33" s="1205">
        <f>N33+O33</f>
        <v>12</v>
      </c>
      <c r="S33" s="1218">
        <f>R33/$S$10</f>
        <v>0.44444444444444442</v>
      </c>
      <c r="T33" s="1386">
        <v>0.02</v>
      </c>
      <c r="U33" s="1573">
        <f t="shared" ref="U33:U34" si="2">S33*T33</f>
        <v>8.8888888888888889E-3</v>
      </c>
    </row>
    <row r="34" spans="2:21" x14ac:dyDescent="0.2">
      <c r="J34" s="1565" t="s">
        <v>811</v>
      </c>
      <c r="K34" s="1217">
        <v>7</v>
      </c>
      <c r="L34" s="1217">
        <v>9</v>
      </c>
      <c r="M34" s="1217">
        <v>7</v>
      </c>
      <c r="N34" s="1217">
        <v>5</v>
      </c>
      <c r="O34" s="1504"/>
      <c r="P34" s="1647">
        <v>28</v>
      </c>
      <c r="R34" s="1211">
        <f>N34+O34</f>
        <v>5</v>
      </c>
      <c r="S34" s="1530">
        <f>R34/$S$10</f>
        <v>0.18518518518518517</v>
      </c>
      <c r="T34" s="1504">
        <v>0</v>
      </c>
      <c r="U34" s="1573">
        <f t="shared" si="2"/>
        <v>0</v>
      </c>
    </row>
    <row r="35" spans="2:21" x14ac:dyDescent="0.2">
      <c r="B35" s="1519" t="s">
        <v>820</v>
      </c>
      <c r="C35" s="1159">
        <v>102</v>
      </c>
      <c r="J35" s="844" t="s">
        <v>804</v>
      </c>
      <c r="K35" s="1588">
        <v>11</v>
      </c>
      <c r="L35" s="1588">
        <v>37</v>
      </c>
      <c r="M35" s="1588">
        <v>27</v>
      </c>
      <c r="N35" s="1588">
        <v>25</v>
      </c>
      <c r="O35" s="1583">
        <v>2</v>
      </c>
      <c r="P35" s="1637">
        <v>102</v>
      </c>
      <c r="T35" s="1518" t="s">
        <v>128</v>
      </c>
      <c r="U35" s="1626">
        <f>SUM(U32:U34)</f>
        <v>2.3703703703703703E-2</v>
      </c>
    </row>
    <row r="36" spans="2:21" x14ac:dyDescent="0.2">
      <c r="B36" s="1520" t="s">
        <v>821</v>
      </c>
      <c r="C36" s="1492">
        <v>8060000</v>
      </c>
    </row>
    <row r="37" spans="2:21" x14ac:dyDescent="0.2">
      <c r="B37" s="1577" t="s">
        <v>802</v>
      </c>
      <c r="C37" s="1580" t="s">
        <v>803</v>
      </c>
      <c r="D37" s="1538" t="s">
        <v>804</v>
      </c>
      <c r="E37" s="2613" t="s">
        <v>1436</v>
      </c>
      <c r="F37" s="2614" t="str">
        <f ca="1">"S.2 Adjusted Purchase Intent / Year 1 in "&amp;CELL("address",$C$20)</f>
        <v>S.2 Adjusted Purchase Intent / Year 1 in $C$20</v>
      </c>
      <c r="G37" s="2614" t="str">
        <f ca="1">"S.1 Adjusted Purchase Intent / Year 1 in "&amp;CELL("address",$C$13)</f>
        <v>S.1 Adjusted Purchase Intent / Year 1 in $C$13</v>
      </c>
      <c r="J37" s="1567" t="s">
        <v>794</v>
      </c>
      <c r="K37" s="1627" t="s">
        <v>819</v>
      </c>
    </row>
    <row r="38" spans="2:21" x14ac:dyDescent="0.2">
      <c r="B38" s="1578">
        <v>7</v>
      </c>
      <c r="C38" s="1504"/>
      <c r="D38" s="1217">
        <v>38</v>
      </c>
      <c r="E38" s="2614" t="str">
        <f ca="1">"S.2 Adjusted Purchase Intent / Year 1 in "&amp;CELL("address",$C$20)</f>
        <v>S.2 Adjusted Purchase Intent / Year 1 in $C$20</v>
      </c>
      <c r="F38" s="2615">
        <v>1</v>
      </c>
      <c r="G38" s="2616"/>
      <c r="K38" s="1633" t="s">
        <v>796</v>
      </c>
    </row>
    <row r="39" spans="2:21" x14ac:dyDescent="0.2">
      <c r="B39" s="1578">
        <v>5</v>
      </c>
      <c r="C39" s="1504">
        <v>1</v>
      </c>
      <c r="D39" s="1217">
        <v>20</v>
      </c>
      <c r="E39" s="2614" t="str">
        <f ca="1">"S.1 Adjusted Purchase Intent / Year 1 in "&amp;CELL("address",$C$13)</f>
        <v>S.1 Adjusted Purchase Intent / Year 1 in $C$13</v>
      </c>
      <c r="F39" s="2617">
        <v>0.5</v>
      </c>
      <c r="G39" s="2618">
        <v>1</v>
      </c>
      <c r="J39" s="1634" t="s">
        <v>798</v>
      </c>
      <c r="K39" s="1548" t="s">
        <v>799</v>
      </c>
      <c r="L39" s="1549" t="s">
        <v>800</v>
      </c>
      <c r="M39" s="1549" t="s">
        <v>801</v>
      </c>
      <c r="N39" s="1549" t="s">
        <v>802</v>
      </c>
      <c r="O39" s="1574" t="s">
        <v>803</v>
      </c>
      <c r="P39" s="1550" t="s">
        <v>804</v>
      </c>
      <c r="R39" s="1561" t="s">
        <v>805</v>
      </c>
      <c r="S39" s="1549" t="s">
        <v>806</v>
      </c>
      <c r="T39" s="1574" t="s">
        <v>807</v>
      </c>
      <c r="U39" s="1550" t="s">
        <v>128</v>
      </c>
    </row>
    <row r="40" spans="2:21" x14ac:dyDescent="0.2">
      <c r="B40" s="1578">
        <v>9</v>
      </c>
      <c r="C40" s="1504"/>
      <c r="D40" s="1496">
        <v>31</v>
      </c>
      <c r="J40" s="1659" t="s">
        <v>809</v>
      </c>
      <c r="K40" s="1217"/>
      <c r="L40" s="1217">
        <v>2</v>
      </c>
      <c r="M40" s="1217">
        <v>2</v>
      </c>
      <c r="N40" s="1217">
        <v>6</v>
      </c>
      <c r="O40" s="1504">
        <v>2</v>
      </c>
      <c r="P40" s="1648">
        <v>12</v>
      </c>
      <c r="Q40" s="832"/>
      <c r="R40" s="1205">
        <f>O40+N40</f>
        <v>8</v>
      </c>
      <c r="S40" s="1218">
        <f>R40/$S$11</f>
        <v>0.33333333333333331</v>
      </c>
      <c r="T40" s="1386">
        <v>0.04</v>
      </c>
      <c r="U40" s="1572">
        <f>T40*S40</f>
        <v>1.3333333333333332E-2</v>
      </c>
    </row>
    <row r="41" spans="2:21" x14ac:dyDescent="0.2">
      <c r="B41" s="1578">
        <v>2</v>
      </c>
      <c r="C41" s="1504">
        <v>1</v>
      </c>
      <c r="D41" s="1496">
        <v>8</v>
      </c>
      <c r="J41" s="1660" t="s">
        <v>810</v>
      </c>
      <c r="K41" s="1217">
        <v>1</v>
      </c>
      <c r="L41" s="1217">
        <v>4</v>
      </c>
      <c r="M41" s="1217">
        <v>7</v>
      </c>
      <c r="N41" s="1217">
        <v>4</v>
      </c>
      <c r="O41" s="1504">
        <v>1</v>
      </c>
      <c r="P41" s="1648">
        <v>17</v>
      </c>
      <c r="Q41" s="832"/>
      <c r="R41" s="1205">
        <f>O41+N41</f>
        <v>5</v>
      </c>
      <c r="S41" s="1218">
        <f>R41/$S$11</f>
        <v>0.20833333333333334</v>
      </c>
      <c r="T41" s="1386">
        <v>0.02</v>
      </c>
      <c r="U41" s="1572">
        <f t="shared" ref="U41:U42" si="3">T41*S41</f>
        <v>4.1666666666666666E-3</v>
      </c>
    </row>
    <row r="42" spans="2:21" x14ac:dyDescent="0.2">
      <c r="B42" s="1579">
        <v>2</v>
      </c>
      <c r="C42" s="1581"/>
      <c r="D42" s="1557">
        <v>5</v>
      </c>
      <c r="J42" s="1660" t="s">
        <v>811</v>
      </c>
      <c r="K42" s="1217">
        <v>1</v>
      </c>
      <c r="L42" s="1217">
        <v>2</v>
      </c>
      <c r="M42" s="1217">
        <v>5</v>
      </c>
      <c r="N42" s="1217">
        <v>6</v>
      </c>
      <c r="O42" s="1504">
        <v>5</v>
      </c>
      <c r="P42" s="1648">
        <v>19</v>
      </c>
      <c r="Q42" s="832"/>
      <c r="R42" s="1211">
        <f>O42+N42</f>
        <v>11</v>
      </c>
      <c r="S42" s="1530">
        <f>R42/$S$11</f>
        <v>0.45833333333333331</v>
      </c>
      <c r="T42" s="1504">
        <v>0</v>
      </c>
      <c r="U42" s="1572">
        <f t="shared" si="3"/>
        <v>0</v>
      </c>
    </row>
    <row r="43" spans="2:21" x14ac:dyDescent="0.2">
      <c r="B43" s="1585">
        <v>25</v>
      </c>
      <c r="C43" s="1586">
        <v>2</v>
      </c>
      <c r="D43" s="1587">
        <v>102</v>
      </c>
      <c r="J43" s="1661" t="s">
        <v>804</v>
      </c>
      <c r="K43" s="1588">
        <v>2</v>
      </c>
      <c r="L43" s="1588">
        <v>8</v>
      </c>
      <c r="M43" s="1588">
        <v>14</v>
      </c>
      <c r="N43" s="1588">
        <v>16</v>
      </c>
      <c r="O43" s="1583">
        <v>8</v>
      </c>
      <c r="P43" s="1637">
        <v>48</v>
      </c>
      <c r="T43" s="1389" t="s">
        <v>128</v>
      </c>
      <c r="U43" s="1624">
        <f>SUM(U40:U42)</f>
        <v>1.7499999999999998E-2</v>
      </c>
    </row>
    <row r="45" spans="2:21" x14ac:dyDescent="0.2">
      <c r="B45" s="1537" t="s">
        <v>817</v>
      </c>
      <c r="C45" s="1538" t="s">
        <v>822</v>
      </c>
      <c r="D45" s="1538" t="s">
        <v>823</v>
      </c>
      <c r="E45" s="1538" t="s">
        <v>824</v>
      </c>
      <c r="F45" s="1538" t="s">
        <v>825</v>
      </c>
      <c r="G45" s="1538" t="s">
        <v>826</v>
      </c>
      <c r="H45" s="1538" t="s">
        <v>827</v>
      </c>
      <c r="I45" s="1538" t="s">
        <v>828</v>
      </c>
      <c r="J45" s="1539" t="s">
        <v>829</v>
      </c>
    </row>
    <row r="46" spans="2:21" x14ac:dyDescent="0.2">
      <c r="B46" s="1531">
        <v>127</v>
      </c>
      <c r="C46" s="1218">
        <f t="shared" ref="C46:D50" si="4">B38/$C$35</f>
        <v>6.8627450980392163E-2</v>
      </c>
      <c r="D46" s="1218">
        <f t="shared" si="4"/>
        <v>0</v>
      </c>
      <c r="E46" s="1218">
        <f>C46*0.3</f>
        <v>2.0588235294117647E-2</v>
      </c>
      <c r="F46" s="1218">
        <f>D46*0.8</f>
        <v>0</v>
      </c>
      <c r="G46" s="1218">
        <f>E46+F46</f>
        <v>2.0588235294117647E-2</v>
      </c>
      <c r="H46" s="1218">
        <f>G46+G47+G48+G49+G50</f>
        <v>8.921568627450982E-2</v>
      </c>
      <c r="I46" s="1499">
        <f>$C$36*H46</f>
        <v>719078.43137254915</v>
      </c>
      <c r="J46" s="1540">
        <f>I46*B46</f>
        <v>91322960.784313738</v>
      </c>
    </row>
    <row r="47" spans="2:21" x14ac:dyDescent="0.2">
      <c r="B47" s="1531">
        <v>140</v>
      </c>
      <c r="C47" s="1218">
        <f t="shared" si="4"/>
        <v>4.9019607843137254E-2</v>
      </c>
      <c r="D47" s="1218">
        <f t="shared" si="4"/>
        <v>9.8039215686274508E-3</v>
      </c>
      <c r="E47" s="1218">
        <f>C47*0.3</f>
        <v>1.4705882352941176E-2</v>
      </c>
      <c r="F47" s="1218">
        <f>D47*0.8</f>
        <v>7.8431372549019607E-3</v>
      </c>
      <c r="G47" s="1218">
        <f>E47+F47</f>
        <v>2.2549019607843137E-2</v>
      </c>
      <c r="H47" s="1218">
        <f>G47+G48+G49+G50</f>
        <v>6.8627450980392163E-2</v>
      </c>
      <c r="I47" s="1499">
        <f>$C$36*H47</f>
        <v>553137.25490196084</v>
      </c>
      <c r="J47" s="1540">
        <f>I47*B47</f>
        <v>77439215.686274514</v>
      </c>
    </row>
    <row r="48" spans="2:21" x14ac:dyDescent="0.2">
      <c r="B48" s="1531">
        <v>153</v>
      </c>
      <c r="C48" s="1218">
        <f t="shared" si="4"/>
        <v>8.8235294117647065E-2</v>
      </c>
      <c r="D48" s="1218">
        <f t="shared" si="4"/>
        <v>0</v>
      </c>
      <c r="E48" s="1218">
        <f>C48*0.3</f>
        <v>2.6470588235294117E-2</v>
      </c>
      <c r="F48" s="1218">
        <f>D48*0.8</f>
        <v>0</v>
      </c>
      <c r="G48" s="1218">
        <f>E48+F48</f>
        <v>2.6470588235294117E-2</v>
      </c>
      <c r="H48" s="1218">
        <f>G48+G49+G50</f>
        <v>4.6078431372549015E-2</v>
      </c>
      <c r="I48" s="1499">
        <f>$C$36*H48</f>
        <v>371392.15686274506</v>
      </c>
      <c r="J48" s="1540">
        <f>I48*B48</f>
        <v>56822999.999999993</v>
      </c>
    </row>
    <row r="49" spans="2:10" x14ac:dyDescent="0.2">
      <c r="B49" s="1531">
        <v>166</v>
      </c>
      <c r="C49" s="1218">
        <f t="shared" si="4"/>
        <v>1.9607843137254902E-2</v>
      </c>
      <c r="D49" s="1218">
        <f t="shared" si="4"/>
        <v>9.8039215686274508E-3</v>
      </c>
      <c r="E49" s="1218">
        <f>C49*0.3</f>
        <v>5.8823529411764705E-3</v>
      </c>
      <c r="F49" s="1218">
        <f>D49*0.8</f>
        <v>7.8431372549019607E-3</v>
      </c>
      <c r="G49" s="1218">
        <f>E49+F49</f>
        <v>1.3725490196078431E-2</v>
      </c>
      <c r="H49" s="1218">
        <f>G49+G50</f>
        <v>1.9607843137254902E-2</v>
      </c>
      <c r="I49" s="1499">
        <f>$C$36*H49</f>
        <v>158039.21568627452</v>
      </c>
      <c r="J49" s="1540">
        <f>I49*B49</f>
        <v>26234509.803921569</v>
      </c>
    </row>
    <row r="50" spans="2:10" ht="18.75" customHeight="1" x14ac:dyDescent="0.2">
      <c r="B50" s="1543">
        <v>179</v>
      </c>
      <c r="C50" s="1530">
        <f t="shared" si="4"/>
        <v>1.9607843137254902E-2</v>
      </c>
      <c r="D50" s="1530">
        <f t="shared" si="4"/>
        <v>0</v>
      </c>
      <c r="E50" s="1530">
        <f>C50*0.3</f>
        <v>5.8823529411764705E-3</v>
      </c>
      <c r="F50" s="1530">
        <f>D50*0.8</f>
        <v>0</v>
      </c>
      <c r="G50" s="1530">
        <f>E50+F50</f>
        <v>5.8823529411764705E-3</v>
      </c>
      <c r="H50" s="1530">
        <f>G50</f>
        <v>5.8823529411764705E-3</v>
      </c>
      <c r="I50" s="1541">
        <f>$C$36*H50</f>
        <v>47411.76470588235</v>
      </c>
      <c r="J50" s="1542">
        <f>I50*B50</f>
        <v>8486705.8823529407</v>
      </c>
    </row>
    <row r="51" spans="2:10" ht="18.75" customHeight="1" x14ac:dyDescent="0.2">
      <c r="B51"/>
      <c r="C51" s="1218"/>
      <c r="D51" s="1218"/>
      <c r="E51" s="1218"/>
      <c r="F51" s="1218"/>
      <c r="G51" s="1218"/>
      <c r="H51" s="1218"/>
      <c r="I51" s="1499"/>
      <c r="J51" s="1645"/>
    </row>
    <row r="52" spans="2:10" ht="18.75" customHeight="1" x14ac:dyDescent="0.2">
      <c r="B52"/>
      <c r="C52" s="1218"/>
      <c r="D52" s="1218"/>
      <c r="E52" s="1218"/>
      <c r="F52" s="1218"/>
      <c r="G52" s="1218"/>
      <c r="H52" s="1218"/>
      <c r="I52" s="1499"/>
      <c r="J52" s="1645"/>
    </row>
    <row r="53" spans="2:10" ht="18.75" customHeight="1" x14ac:dyDescent="0.2">
      <c r="B53"/>
      <c r="C53" s="1218"/>
      <c r="D53" s="1218"/>
      <c r="E53" s="1218"/>
      <c r="F53" s="1218"/>
      <c r="G53" s="1218"/>
      <c r="H53" s="1218"/>
      <c r="I53" s="1499"/>
      <c r="J53" s="1645"/>
    </row>
    <row r="54" spans="2:10" ht="18.75" customHeight="1" x14ac:dyDescent="0.2">
      <c r="B54"/>
      <c r="C54" s="1218"/>
      <c r="D54" s="1218"/>
      <c r="E54" s="1218"/>
      <c r="F54" s="1218"/>
      <c r="G54" s="1218"/>
      <c r="H54" s="1218"/>
      <c r="I54" s="1499"/>
      <c r="J54" s="1645"/>
    </row>
    <row r="55" spans="2:10" ht="18.75" customHeight="1" x14ac:dyDescent="0.2">
      <c r="B55"/>
      <c r="C55" s="1218"/>
      <c r="D55" s="1218"/>
      <c r="E55" s="1218"/>
      <c r="F55" s="1218"/>
      <c r="G55" s="1218"/>
      <c r="H55" s="1218"/>
      <c r="I55" s="1499"/>
      <c r="J55" s="1645"/>
    </row>
    <row r="56" spans="2:10" ht="18.75" customHeight="1" x14ac:dyDescent="0.2">
      <c r="B56"/>
      <c r="C56" s="1218"/>
      <c r="D56" s="1218"/>
      <c r="E56" s="1218"/>
      <c r="F56" s="1218"/>
      <c r="G56" s="1218"/>
      <c r="H56" s="1218"/>
      <c r="I56" s="1499"/>
      <c r="J56" s="1645"/>
    </row>
    <row r="57" spans="2:10" ht="18.75" customHeight="1" x14ac:dyDescent="0.2">
      <c r="B57"/>
      <c r="C57" s="1218"/>
      <c r="D57" s="1218"/>
      <c r="E57" s="1218"/>
      <c r="F57" s="1218"/>
      <c r="G57" s="1218"/>
      <c r="H57" s="1218"/>
      <c r="I57" s="1499"/>
      <c r="J57" s="1645"/>
    </row>
    <row r="58" spans="2:10" ht="18.75" customHeight="1" x14ac:dyDescent="0.2">
      <c r="B58"/>
      <c r="C58" s="1218"/>
      <c r="D58" s="1218"/>
      <c r="E58" s="1218"/>
      <c r="F58" s="1218"/>
      <c r="G58" s="1218"/>
      <c r="H58" s="1218"/>
      <c r="I58" s="1499"/>
      <c r="J58" s="1645"/>
    </row>
    <row r="59" spans="2:10" ht="18.75" customHeight="1" x14ac:dyDescent="0.2">
      <c r="B59"/>
      <c r="C59" s="1218"/>
      <c r="D59" s="1218"/>
      <c r="E59" s="1218"/>
      <c r="F59" s="1218"/>
      <c r="G59" s="1218"/>
      <c r="H59" s="1218"/>
      <c r="I59" s="1499"/>
      <c r="J59" s="1645"/>
    </row>
    <row r="60" spans="2:10" ht="18.75" customHeight="1" x14ac:dyDescent="0.2">
      <c r="B60"/>
      <c r="C60" s="1218"/>
      <c r="D60" s="1218"/>
      <c r="E60" s="1218"/>
      <c r="F60" s="1218"/>
      <c r="G60" s="1218"/>
      <c r="H60" s="1218"/>
      <c r="I60" s="1499"/>
      <c r="J60" s="1645"/>
    </row>
    <row r="61" spans="2:10" ht="18.75" customHeight="1" x14ac:dyDescent="0.2">
      <c r="B61"/>
      <c r="C61" s="1218"/>
      <c r="D61" s="1218"/>
      <c r="E61" s="1218"/>
      <c r="F61" s="1218"/>
      <c r="G61" s="1218"/>
      <c r="H61" s="1218"/>
      <c r="I61" s="1499"/>
      <c r="J61" s="1645"/>
    </row>
    <row r="62" spans="2:10" ht="18.75" customHeight="1" x14ac:dyDescent="0.2">
      <c r="B62"/>
      <c r="C62" s="1218"/>
      <c r="D62" s="1218"/>
      <c r="E62" s="1218"/>
      <c r="F62" s="1218"/>
      <c r="G62" s="1218"/>
      <c r="H62" s="1218"/>
      <c r="I62" s="1499"/>
      <c r="J62" s="1645"/>
    </row>
    <row r="63" spans="2:10" ht="18.75" customHeight="1" x14ac:dyDescent="0.2">
      <c r="B63"/>
      <c r="C63" s="1218"/>
      <c r="D63" s="1218"/>
      <c r="E63" s="1218"/>
      <c r="F63" s="1218"/>
      <c r="G63" s="1218"/>
      <c r="H63" s="1218"/>
      <c r="I63" s="1499"/>
      <c r="J63" s="1645"/>
    </row>
    <row r="64" spans="2:10" ht="18.75" customHeight="1" x14ac:dyDescent="0.2">
      <c r="B64"/>
      <c r="C64" s="1218"/>
      <c r="D64" s="1218"/>
      <c r="E64" s="1218"/>
      <c r="F64" s="1218"/>
      <c r="G64" s="1218"/>
      <c r="H64" s="1218"/>
      <c r="I64" s="1499"/>
      <c r="J64" s="1645"/>
    </row>
    <row r="65" spans="2:15" x14ac:dyDescent="0.2">
      <c r="J65" s="1499"/>
    </row>
    <row r="66" spans="2:15" x14ac:dyDescent="0.2">
      <c r="B66" s="2792" t="s">
        <v>830</v>
      </c>
      <c r="C66" s="2793"/>
      <c r="D66"/>
      <c r="K66" s="1645"/>
    </row>
    <row r="67" spans="2:15" x14ac:dyDescent="0.2">
      <c r="B67" s="1561" t="s">
        <v>817</v>
      </c>
      <c r="C67" s="1549" t="s">
        <v>799</v>
      </c>
      <c r="D67" s="1549" t="s">
        <v>800</v>
      </c>
      <c r="E67" s="1549" t="s">
        <v>801</v>
      </c>
      <c r="F67" s="1549" t="s">
        <v>802</v>
      </c>
      <c r="G67" s="1574" t="s">
        <v>803</v>
      </c>
      <c r="H67" s="1550" t="s">
        <v>804</v>
      </c>
    </row>
    <row r="68" spans="2:15" x14ac:dyDescent="0.2">
      <c r="B68" s="1551">
        <v>127</v>
      </c>
      <c r="C68" s="1217"/>
      <c r="D68" s="1217">
        <v>2</v>
      </c>
      <c r="E68" s="1217">
        <v>4</v>
      </c>
      <c r="F68" s="1217">
        <v>4</v>
      </c>
      <c r="G68" s="1504">
        <v>4</v>
      </c>
      <c r="H68" s="1496">
        <v>14</v>
      </c>
    </row>
    <row r="69" spans="2:15" x14ac:dyDescent="0.2">
      <c r="B69" s="1551">
        <v>140</v>
      </c>
      <c r="C69" s="1217">
        <v>1</v>
      </c>
      <c r="D69" s="1217">
        <v>4</v>
      </c>
      <c r="E69" s="1217">
        <v>4</v>
      </c>
      <c r="F69" s="1217">
        <v>4</v>
      </c>
      <c r="G69" s="1504"/>
      <c r="H69" s="1496">
        <v>13</v>
      </c>
    </row>
    <row r="70" spans="2:15" x14ac:dyDescent="0.2">
      <c r="B70" s="1551">
        <v>153</v>
      </c>
      <c r="C70" s="1217">
        <v>1</v>
      </c>
      <c r="D70" s="1217">
        <v>2</v>
      </c>
      <c r="E70" s="1217">
        <v>5</v>
      </c>
      <c r="F70" s="1217">
        <v>4</v>
      </c>
      <c r="G70" s="1504">
        <v>2</v>
      </c>
      <c r="H70" s="1496">
        <v>14</v>
      </c>
    </row>
    <row r="71" spans="2:15" x14ac:dyDescent="0.2">
      <c r="B71" s="1551">
        <v>166</v>
      </c>
      <c r="C71" s="1217"/>
      <c r="D71" s="1217"/>
      <c r="E71" s="1217">
        <v>1</v>
      </c>
      <c r="F71" s="1217">
        <v>2</v>
      </c>
      <c r="G71" s="1504">
        <v>1</v>
      </c>
      <c r="H71" s="1496">
        <v>4</v>
      </c>
    </row>
    <row r="72" spans="2:15" x14ac:dyDescent="0.2">
      <c r="B72" s="1584">
        <v>179</v>
      </c>
      <c r="C72" s="1556"/>
      <c r="D72" s="1556"/>
      <c r="E72" s="1556"/>
      <c r="F72" s="1556">
        <v>2</v>
      </c>
      <c r="G72" s="1581">
        <v>1</v>
      </c>
      <c r="H72" s="1557">
        <v>3</v>
      </c>
    </row>
    <row r="73" spans="2:15" x14ac:dyDescent="0.2">
      <c r="B73" s="1552" t="s">
        <v>804</v>
      </c>
      <c r="C73" s="1553">
        <v>2</v>
      </c>
      <c r="D73" s="1553">
        <v>8</v>
      </c>
      <c r="E73" s="1553">
        <v>14</v>
      </c>
      <c r="F73" s="1553">
        <v>16</v>
      </c>
      <c r="G73" s="1553">
        <v>8</v>
      </c>
      <c r="H73" s="1587">
        <v>48</v>
      </c>
    </row>
    <row r="74" spans="2:15" x14ac:dyDescent="0.2">
      <c r="B74"/>
      <c r="C74"/>
      <c r="D74"/>
      <c r="E74"/>
      <c r="F74"/>
      <c r="G74"/>
      <c r="H74"/>
    </row>
    <row r="75" spans="2:15" x14ac:dyDescent="0.2">
      <c r="B75" s="1547" t="s">
        <v>820</v>
      </c>
      <c r="C75" s="1159">
        <v>48</v>
      </c>
      <c r="E75"/>
      <c r="F75"/>
      <c r="G75"/>
      <c r="H75"/>
      <c r="I75"/>
      <c r="J75"/>
    </row>
    <row r="76" spans="2:15" x14ac:dyDescent="0.2">
      <c r="B76" s="1546" t="s">
        <v>821</v>
      </c>
      <c r="C76" s="1492">
        <v>12020000</v>
      </c>
      <c r="E76"/>
      <c r="F76"/>
      <c r="G76"/>
      <c r="H76"/>
      <c r="I76"/>
      <c r="J76"/>
      <c r="K76"/>
    </row>
    <row r="77" spans="2:15" x14ac:dyDescent="0.2">
      <c r="B77" s="1582" t="s">
        <v>802</v>
      </c>
      <c r="C77" s="1574" t="s">
        <v>803</v>
      </c>
      <c r="D77" s="1550" t="s">
        <v>804</v>
      </c>
      <c r="E77"/>
      <c r="F77"/>
      <c r="G77"/>
      <c r="H77"/>
      <c r="I77"/>
      <c r="J77"/>
      <c r="K77"/>
      <c r="L77"/>
      <c r="M77"/>
      <c r="N77"/>
      <c r="O77"/>
    </row>
    <row r="78" spans="2:15" x14ac:dyDescent="0.2">
      <c r="B78" s="1578">
        <v>4</v>
      </c>
      <c r="C78" s="1504">
        <v>4</v>
      </c>
      <c r="D78" s="1496">
        <v>14</v>
      </c>
      <c r="E78"/>
      <c r="F78"/>
      <c r="G78"/>
      <c r="H78"/>
      <c r="I78"/>
      <c r="J78"/>
      <c r="K78"/>
      <c r="L78"/>
      <c r="M78"/>
      <c r="N78"/>
      <c r="O78"/>
    </row>
    <row r="79" spans="2:15" x14ac:dyDescent="0.2">
      <c r="B79" s="1578">
        <v>4</v>
      </c>
      <c r="C79" s="1504"/>
      <c r="D79" s="1496">
        <v>13</v>
      </c>
      <c r="K79"/>
      <c r="L79"/>
      <c r="M79"/>
      <c r="N79"/>
      <c r="O79"/>
    </row>
    <row r="80" spans="2:15" x14ac:dyDescent="0.2">
      <c r="B80" s="1578">
        <v>4</v>
      </c>
      <c r="C80" s="1504">
        <v>2</v>
      </c>
      <c r="D80" s="1496">
        <v>14</v>
      </c>
      <c r="L80"/>
      <c r="M80"/>
      <c r="N80"/>
      <c r="O80"/>
    </row>
    <row r="81" spans="2:14" x14ac:dyDescent="0.2">
      <c r="B81" s="1578">
        <v>2</v>
      </c>
      <c r="C81" s="1504">
        <v>1</v>
      </c>
      <c r="D81" s="1496">
        <v>4</v>
      </c>
    </row>
    <row r="82" spans="2:14" x14ac:dyDescent="0.2">
      <c r="B82" s="1579">
        <v>2</v>
      </c>
      <c r="C82" s="1581">
        <v>1</v>
      </c>
      <c r="D82" s="1557">
        <v>3</v>
      </c>
    </row>
    <row r="83" spans="2:14" ht="15.75" customHeight="1" x14ac:dyDescent="0.2">
      <c r="B83" s="1585">
        <v>16</v>
      </c>
      <c r="C83" s="1586">
        <v>8</v>
      </c>
      <c r="D83" s="1587">
        <v>48</v>
      </c>
    </row>
    <row r="85" spans="2:14" x14ac:dyDescent="0.2">
      <c r="B85" s="1561" t="s">
        <v>817</v>
      </c>
      <c r="C85" s="1549" t="s">
        <v>822</v>
      </c>
      <c r="D85" s="1549" t="s">
        <v>823</v>
      </c>
      <c r="E85" s="1549" t="s">
        <v>824</v>
      </c>
      <c r="F85" s="1549" t="s">
        <v>825</v>
      </c>
      <c r="G85" s="1549" t="s">
        <v>826</v>
      </c>
      <c r="H85" s="1549" t="s">
        <v>827</v>
      </c>
      <c r="I85" s="1549" t="s">
        <v>828</v>
      </c>
      <c r="J85" s="1550" t="s">
        <v>829</v>
      </c>
    </row>
    <row r="86" spans="2:14" x14ac:dyDescent="0.2">
      <c r="B86" s="1551">
        <v>127</v>
      </c>
      <c r="C86" s="1218">
        <f t="shared" ref="C86:D90" si="5">B78/$C$75</f>
        <v>8.3333333333333329E-2</v>
      </c>
      <c r="D86" s="1218">
        <f t="shared" si="5"/>
        <v>8.3333333333333329E-2</v>
      </c>
      <c r="E86" s="1218">
        <f>C86*0.3</f>
        <v>2.4999999999999998E-2</v>
      </c>
      <c r="F86" s="1218">
        <f>D86*0.8</f>
        <v>6.6666666666666666E-2</v>
      </c>
      <c r="G86" s="1218">
        <f>E86+F86</f>
        <v>9.166666666666666E-2</v>
      </c>
      <c r="H86" s="1218">
        <f>SUM(G86:G90)</f>
        <v>0.23333333333333334</v>
      </c>
      <c r="I86" s="1499">
        <f>C76*H86</f>
        <v>2804666.6666666665</v>
      </c>
      <c r="J86" s="1540">
        <f>I86*B86</f>
        <v>356192666.66666663</v>
      </c>
    </row>
    <row r="87" spans="2:14" x14ac:dyDescent="0.2">
      <c r="B87" s="1551">
        <v>140</v>
      </c>
      <c r="C87" s="1218">
        <f t="shared" si="5"/>
        <v>8.3333333333333329E-2</v>
      </c>
      <c r="D87" s="1218">
        <f t="shared" si="5"/>
        <v>0</v>
      </c>
      <c r="E87" s="1218">
        <f>C87*0.3</f>
        <v>2.4999999999999998E-2</v>
      </c>
      <c r="F87" s="1218">
        <f>D87*0.8</f>
        <v>0</v>
      </c>
      <c r="G87" s="1218">
        <f>E87+F87</f>
        <v>2.4999999999999998E-2</v>
      </c>
      <c r="H87" s="1218">
        <f>G90+G89+G88+G87</f>
        <v>0.14166666666666666</v>
      </c>
      <c r="I87" s="1499">
        <f>$C$76*H87</f>
        <v>1702833.3333333333</v>
      </c>
      <c r="J87" s="1540">
        <f>I87*B87</f>
        <v>238396666.66666666</v>
      </c>
    </row>
    <row r="88" spans="2:14" x14ac:dyDescent="0.2">
      <c r="B88" s="1551">
        <v>153</v>
      </c>
      <c r="C88" s="1218">
        <f t="shared" si="5"/>
        <v>8.3333333333333329E-2</v>
      </c>
      <c r="D88" s="1218">
        <f t="shared" si="5"/>
        <v>4.1666666666666664E-2</v>
      </c>
      <c r="E88" s="1218">
        <f>C88*0.3</f>
        <v>2.4999999999999998E-2</v>
      </c>
      <c r="F88" s="1218">
        <f>D88*0.8</f>
        <v>3.3333333333333333E-2</v>
      </c>
      <c r="G88" s="1218">
        <f>E88+F88</f>
        <v>5.8333333333333334E-2</v>
      </c>
      <c r="H88" s="1218">
        <f>G90+G89+G88</f>
        <v>0.11666666666666667</v>
      </c>
      <c r="I88" s="1499">
        <f>$C$76*H88</f>
        <v>1402333.3333333333</v>
      </c>
      <c r="J88" s="1540">
        <f>I88*B88</f>
        <v>214557000</v>
      </c>
    </row>
    <row r="89" spans="2:14" x14ac:dyDescent="0.2">
      <c r="B89" s="1551">
        <v>166</v>
      </c>
      <c r="C89" s="1218">
        <f t="shared" si="5"/>
        <v>4.1666666666666664E-2</v>
      </c>
      <c r="D89" s="1218">
        <f t="shared" si="5"/>
        <v>2.0833333333333332E-2</v>
      </c>
      <c r="E89" s="1218">
        <f>C89*0.3</f>
        <v>1.2499999999999999E-2</v>
      </c>
      <c r="F89" s="1218">
        <f>D89*0.8</f>
        <v>1.6666666666666666E-2</v>
      </c>
      <c r="G89" s="1218">
        <f>E89+F89</f>
        <v>2.9166666666666667E-2</v>
      </c>
      <c r="H89" s="1218">
        <f>G90+G89</f>
        <v>5.8333333333333334E-2</v>
      </c>
      <c r="I89" s="1499">
        <f>$C$76*H89</f>
        <v>701166.66666666663</v>
      </c>
      <c r="J89" s="1540">
        <f>I89*B89</f>
        <v>116393666.66666666</v>
      </c>
    </row>
    <row r="90" spans="2:14" x14ac:dyDescent="0.2">
      <c r="B90" s="1646">
        <v>179</v>
      </c>
      <c r="C90" s="1530">
        <f t="shared" si="5"/>
        <v>4.1666666666666664E-2</v>
      </c>
      <c r="D90" s="1530">
        <f t="shared" si="5"/>
        <v>2.0833333333333332E-2</v>
      </c>
      <c r="E90" s="1530">
        <f>C90*0.3</f>
        <v>1.2499999999999999E-2</v>
      </c>
      <c r="F90" s="1530">
        <f>D90*0.8</f>
        <v>1.6666666666666666E-2</v>
      </c>
      <c r="G90" s="1530">
        <f>E90+F90</f>
        <v>2.9166666666666667E-2</v>
      </c>
      <c r="H90" s="1530">
        <f>G90</f>
        <v>2.9166666666666667E-2</v>
      </c>
      <c r="I90" s="1541">
        <f>$C$76*H90</f>
        <v>350583.33333333331</v>
      </c>
      <c r="J90" s="1542">
        <f>I90*B90</f>
        <v>62754416.666666664</v>
      </c>
    </row>
    <row r="91" spans="2:14" x14ac:dyDescent="0.2">
      <c r="N91" s="1217"/>
    </row>
    <row r="92" spans="2:14" x14ac:dyDescent="0.2">
      <c r="N92" s="1217"/>
    </row>
    <row r="93" spans="2:14" x14ac:dyDescent="0.2">
      <c r="N93" s="1217"/>
    </row>
    <row r="94" spans="2:14" x14ac:dyDescent="0.2">
      <c r="N94" s="1217"/>
    </row>
    <row r="95" spans="2:14" x14ac:dyDescent="0.2">
      <c r="N95" s="1217"/>
    </row>
    <row r="105" spans="10:16" x14ac:dyDescent="0.2">
      <c r="J105" s="832"/>
    </row>
    <row r="106" spans="10:16" x14ac:dyDescent="0.2">
      <c r="K106" s="832"/>
    </row>
    <row r="108" spans="10:16" x14ac:dyDescent="0.2">
      <c r="P108" s="745" t="s">
        <v>831</v>
      </c>
    </row>
  </sheetData>
  <mergeCells count="2">
    <mergeCell ref="B26:C26"/>
    <mergeCell ref="B66:C66"/>
  </mergeCells>
  <phoneticPr fontId="59" type="noConversion"/>
  <hyperlinks>
    <hyperlink ref="A1" location="index!A1" display="Index"/>
  </hyperlink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X55"/>
  <sheetViews>
    <sheetView showGridLines="0" workbookViewId="0">
      <selection activeCell="B3" sqref="B3"/>
    </sheetView>
  </sheetViews>
  <sheetFormatPr baseColWidth="10" defaultColWidth="8.83203125" defaultRowHeight="16" x14ac:dyDescent="0.2"/>
  <cols>
    <col min="1" max="1" width="8.1640625" customWidth="1"/>
    <col min="2" max="2" width="27.1640625" customWidth="1"/>
    <col min="3" max="3" width="13.6640625" customWidth="1"/>
    <col min="4" max="4" width="16.5" customWidth="1"/>
    <col min="5" max="5" width="12.6640625" customWidth="1"/>
    <col min="6" max="6" width="18.6640625" customWidth="1"/>
    <col min="7" max="7" width="11.1640625" customWidth="1"/>
    <col min="8" max="8" width="15.83203125" customWidth="1"/>
    <col min="9" max="9" width="31.1640625" customWidth="1"/>
    <col min="10" max="10" width="17.1640625" customWidth="1"/>
    <col min="11" max="11" width="14.83203125" customWidth="1"/>
    <col min="12" max="12" width="14.1640625" customWidth="1"/>
    <col min="13" max="13" width="17.5" customWidth="1"/>
    <col min="14" max="14" width="20.1640625" customWidth="1"/>
    <col min="15" max="15" width="10.83203125" customWidth="1"/>
    <col min="16" max="16" width="14.83203125" customWidth="1"/>
    <col min="17" max="17" width="14.1640625" customWidth="1"/>
    <col min="18" max="18" width="19" customWidth="1"/>
    <col min="19" max="19" width="13.83203125" customWidth="1"/>
    <col min="20" max="20" width="17.6640625" customWidth="1"/>
    <col min="21" max="21" width="23.33203125" customWidth="1"/>
    <col min="24" max="24" width="15.33203125" customWidth="1"/>
  </cols>
  <sheetData>
    <row r="1" spans="1:24" ht="17" thickBot="1" x14ac:dyDescent="0.25">
      <c r="A1" s="1" t="s">
        <v>38</v>
      </c>
      <c r="B1" s="2704" t="s">
        <v>1515</v>
      </c>
    </row>
    <row r="2" spans="1:24" x14ac:dyDescent="0.2">
      <c r="A2" s="1"/>
      <c r="B2" s="2709" t="s">
        <v>1541</v>
      </c>
      <c r="C2" s="2710"/>
      <c r="D2" s="2710"/>
      <c r="E2" s="2710"/>
      <c r="F2" s="2710"/>
      <c r="G2" s="2710"/>
      <c r="H2" s="2710"/>
      <c r="I2" s="2711"/>
    </row>
    <row r="3" spans="1:24" ht="17" thickBot="1" x14ac:dyDescent="0.25">
      <c r="B3" s="2712" t="s">
        <v>1516</v>
      </c>
      <c r="C3" s="2713"/>
      <c r="D3" s="2713"/>
      <c r="E3" s="2713"/>
      <c r="F3" s="2713"/>
      <c r="G3" s="2713"/>
      <c r="H3" s="2713"/>
      <c r="I3" s="2714"/>
    </row>
    <row r="4" spans="1:24" ht="18" thickTop="1" thickBot="1" x14ac:dyDescent="0.25">
      <c r="B4" s="16"/>
      <c r="C4" s="2805" t="s">
        <v>832</v>
      </c>
      <c r="D4" s="2806"/>
      <c r="E4" s="2705">
        <v>0.2</v>
      </c>
      <c r="F4" s="2706">
        <v>0.3</v>
      </c>
      <c r="G4" s="2707">
        <v>0.35</v>
      </c>
      <c r="I4" s="2708" t="s">
        <v>833</v>
      </c>
      <c r="U4" s="2794" t="s">
        <v>834</v>
      </c>
      <c r="V4" s="2795"/>
      <c r="W4" s="2795"/>
      <c r="X4" s="2796"/>
    </row>
    <row r="5" spans="1:24" ht="16.5" customHeight="1" thickTop="1" thickBot="1" x14ac:dyDescent="0.25">
      <c r="B5" s="16"/>
      <c r="C5" s="2807" t="s">
        <v>835</v>
      </c>
      <c r="D5" s="2808"/>
      <c r="E5" s="61">
        <v>0.5</v>
      </c>
      <c r="F5" s="62">
        <v>0.7</v>
      </c>
      <c r="G5" s="63">
        <v>0.7</v>
      </c>
      <c r="I5" s="2249" t="s">
        <v>836</v>
      </c>
      <c r="J5" s="2250" t="s">
        <v>837</v>
      </c>
      <c r="K5" s="2250" t="s">
        <v>747</v>
      </c>
      <c r="L5" s="2250" t="s">
        <v>838</v>
      </c>
      <c r="M5" s="2251" t="s">
        <v>839</v>
      </c>
      <c r="N5" s="2250" t="s">
        <v>840</v>
      </c>
      <c r="O5" s="2250" t="s">
        <v>841</v>
      </c>
      <c r="P5" s="2250" t="s">
        <v>842</v>
      </c>
      <c r="Q5" s="2250" t="s">
        <v>843</v>
      </c>
      <c r="R5" s="2250" t="s">
        <v>844</v>
      </c>
      <c r="S5" s="2252" t="s">
        <v>579</v>
      </c>
      <c r="U5" s="727" t="s">
        <v>845</v>
      </c>
      <c r="V5" s="728">
        <f>ACV!O7</f>
        <v>75000</v>
      </c>
      <c r="W5" s="729"/>
      <c r="X5" s="714"/>
    </row>
    <row r="6" spans="1:24" ht="18" customHeight="1" x14ac:dyDescent="0.2">
      <c r="B6" s="2200" t="s">
        <v>846</v>
      </c>
      <c r="C6" s="2201" t="s">
        <v>71</v>
      </c>
      <c r="D6" s="2202" t="s">
        <v>72</v>
      </c>
      <c r="E6" s="2202" t="s">
        <v>73</v>
      </c>
      <c r="F6" s="2202" t="s">
        <v>74</v>
      </c>
      <c r="G6" s="2203" t="s">
        <v>75</v>
      </c>
      <c r="I6" s="2800">
        <v>1</v>
      </c>
      <c r="J6" s="2811" t="e">
        <f ca="1">'BASES MODEL (Base Case)'!$C$37</f>
        <v>#NAME?</v>
      </c>
      <c r="K6" s="2809">
        <f>'Avg.Weighted Manufacturer Price'!F9</f>
        <v>80.561016949152545</v>
      </c>
      <c r="L6" s="2809" t="e">
        <f ca="1">J6*K6</f>
        <v>#NAME?</v>
      </c>
      <c r="M6" s="719" t="s">
        <v>847</v>
      </c>
      <c r="N6" s="720">
        <v>0.1</v>
      </c>
      <c r="O6" s="721"/>
      <c r="P6" s="722"/>
      <c r="Q6" s="723">
        <f>K6*N6</f>
        <v>8.0561016949152542</v>
      </c>
      <c r="R6" s="738" t="e">
        <f ca="1">Q6*J6</f>
        <v>#NAME?</v>
      </c>
      <c r="S6" s="2259" t="e">
        <f ca="1">R6</f>
        <v>#NAME?</v>
      </c>
      <c r="U6" s="727" t="s">
        <v>848</v>
      </c>
      <c r="V6" s="672">
        <v>0.02</v>
      </c>
      <c r="W6" s="620"/>
      <c r="X6" s="714"/>
    </row>
    <row r="7" spans="1:24" ht="24" customHeight="1" x14ac:dyDescent="0.2">
      <c r="B7" s="2207" t="s">
        <v>76</v>
      </c>
      <c r="C7" s="67">
        <v>0.12</v>
      </c>
      <c r="D7" s="68">
        <f>ACV!$D$36</f>
        <v>0.12</v>
      </c>
      <c r="E7" s="68">
        <f>ACV!$D$36</f>
        <v>0.12</v>
      </c>
      <c r="F7" s="68">
        <f>ACV!$D$36</f>
        <v>0.12</v>
      </c>
      <c r="G7" s="69">
        <f>ACV!$D$36</f>
        <v>0.12</v>
      </c>
      <c r="I7" s="2801"/>
      <c r="J7" s="2812"/>
      <c r="K7" s="2804"/>
      <c r="L7" s="2804"/>
      <c r="M7" s="2266" t="s">
        <v>849</v>
      </c>
      <c r="N7" s="2267">
        <v>0.02</v>
      </c>
      <c r="O7" s="2268">
        <v>75000</v>
      </c>
      <c r="P7" s="2267"/>
      <c r="Q7" s="2269"/>
      <c r="R7" s="2269"/>
      <c r="S7" s="2260"/>
      <c r="U7" s="727" t="s">
        <v>850</v>
      </c>
      <c r="V7" s="672">
        <v>0.1</v>
      </c>
      <c r="W7" s="620"/>
      <c r="X7" s="714"/>
    </row>
    <row r="8" spans="1:24" x14ac:dyDescent="0.2">
      <c r="B8" s="2208" t="s">
        <v>851</v>
      </c>
      <c r="C8" s="71">
        <f>ACV!D18*0.3*0.8</f>
        <v>2.1600000000000001E-2</v>
      </c>
      <c r="D8" s="72">
        <f>C8+((ACV!D18-C8)*0.3*0.8)</f>
        <v>3.8015999999999994E-2</v>
      </c>
      <c r="E8" s="669">
        <f>D8+((ACV!D18-D8)*0.3*0.8)</f>
        <v>5.0492159999999994E-2</v>
      </c>
      <c r="F8" s="669">
        <f>E8+(ACV!D18-E8)*0.8*0.3</f>
        <v>5.9974041599999993E-2</v>
      </c>
      <c r="G8" s="670">
        <f>F8+(ACV!D18-F8)*0.8*0.3</f>
        <v>6.7180271615999987E-2</v>
      </c>
      <c r="I8" s="2802">
        <v>2</v>
      </c>
      <c r="J8" s="2814" t="e">
        <f ca="1">'BASES MODEL (Base Case)'!$D$37</f>
        <v>#NAME?</v>
      </c>
      <c r="K8" s="2803">
        <f>'Avg.Weighted Manufacturer Price'!F16</f>
        <v>78.128888213851766</v>
      </c>
      <c r="L8" s="2803" t="e">
        <f ca="1">J8*K8</f>
        <v>#NAME?</v>
      </c>
      <c r="M8" s="719" t="s">
        <v>847</v>
      </c>
      <c r="N8" s="724">
        <v>0.1</v>
      </c>
      <c r="O8" s="721"/>
      <c r="P8" s="722"/>
      <c r="Q8" s="723">
        <f>K8*N8</f>
        <v>7.8128888213851768</v>
      </c>
      <c r="R8" s="738" t="e">
        <f ca="1">Q8*J8</f>
        <v>#NAME?</v>
      </c>
      <c r="S8" s="2261" t="e">
        <f ca="1">R8</f>
        <v>#NAME?</v>
      </c>
      <c r="U8" s="1413" t="s">
        <v>852</v>
      </c>
      <c r="V8" s="679">
        <v>0.08</v>
      </c>
      <c r="W8" s="725"/>
      <c r="X8" s="726"/>
    </row>
    <row r="9" spans="1:24" x14ac:dyDescent="0.2">
      <c r="B9" s="2209" t="s">
        <v>853</v>
      </c>
      <c r="C9" s="75"/>
      <c r="D9" s="76"/>
      <c r="E9" s="77">
        <f>E8*E4</f>
        <v>1.0098431999999999E-2</v>
      </c>
      <c r="F9" s="77">
        <f>F8*F4</f>
        <v>1.7992212479999999E-2</v>
      </c>
      <c r="G9" s="78">
        <f>G8*G4</f>
        <v>2.3513095065599995E-2</v>
      </c>
      <c r="I9" s="2801"/>
      <c r="J9" s="2812"/>
      <c r="K9" s="2804"/>
      <c r="L9" s="2804"/>
      <c r="M9" s="2266" t="s">
        <v>849</v>
      </c>
      <c r="N9" s="2267">
        <v>0.02</v>
      </c>
      <c r="O9" s="2268">
        <f>O7</f>
        <v>75000</v>
      </c>
      <c r="P9" s="2267"/>
      <c r="Q9" s="2269"/>
      <c r="R9" s="2269"/>
      <c r="S9" s="2260"/>
      <c r="U9" s="2301" t="s">
        <v>854</v>
      </c>
      <c r="V9" s="2797" t="s">
        <v>855</v>
      </c>
      <c r="W9" s="2798"/>
      <c r="X9" s="2799"/>
    </row>
    <row r="10" spans="1:24" ht="14.25" customHeight="1" x14ac:dyDescent="0.2">
      <c r="B10" s="2208" t="s">
        <v>856</v>
      </c>
      <c r="C10" s="75"/>
      <c r="D10" s="81"/>
      <c r="E10" s="76"/>
      <c r="F10" s="82">
        <f>ACV!D23*F5</f>
        <v>3.8321653227508759E-2</v>
      </c>
      <c r="G10" s="83">
        <f>ACV!D23*G5</f>
        <v>3.8321653227508759E-2</v>
      </c>
      <c r="I10" s="2802">
        <v>3</v>
      </c>
      <c r="J10" s="1253" t="e">
        <f ca="1">('BASES MODEL (Base Case)'!$E$37)*'Avg.Weighted Manufacturer Price'!D18</f>
        <v>#NAME?</v>
      </c>
      <c r="K10" s="2803">
        <f>'Avg.Weighted Manufacturer Price'!F25</f>
        <v>77.474995001098407</v>
      </c>
      <c r="L10" s="2803" t="e">
        <f ca="1">(J10+J11)*K10</f>
        <v>#NAME?</v>
      </c>
      <c r="M10" s="719" t="s">
        <v>847</v>
      </c>
      <c r="N10" s="724">
        <v>0.1</v>
      </c>
      <c r="O10" s="721"/>
      <c r="P10" s="722"/>
      <c r="Q10" s="723">
        <f>K10*N10</f>
        <v>7.747499500109841</v>
      </c>
      <c r="R10" s="738" t="e">
        <f ca="1">Q10*J10</f>
        <v>#NAME?</v>
      </c>
      <c r="S10" s="2262" t="e">
        <f ca="1">R11+R10</f>
        <v>#NAME?</v>
      </c>
      <c r="U10" s="2304" t="s">
        <v>857</v>
      </c>
      <c r="V10" s="2298">
        <f>V5/(ACV!N6-ACV!N7)</f>
        <v>937500</v>
      </c>
      <c r="W10" s="2299"/>
      <c r="X10" s="2300" t="s">
        <v>73</v>
      </c>
    </row>
    <row r="11" spans="1:24" x14ac:dyDescent="0.2">
      <c r="B11" s="2208" t="s">
        <v>858</v>
      </c>
      <c r="C11" s="75"/>
      <c r="D11" s="76"/>
      <c r="E11" s="82">
        <f>ACV!D27*E5</f>
        <v>5.4279321387861934E-3</v>
      </c>
      <c r="F11" s="82">
        <f>ACV!D27*F5</f>
        <v>7.5991049943006702E-3</v>
      </c>
      <c r="G11" s="83">
        <f>ACV!D27*G5</f>
        <v>7.5991049943006702E-3</v>
      </c>
      <c r="I11" s="2801"/>
      <c r="J11" s="1404" t="e">
        <f ca="1">('BASES MODEL (Base Case)'!$E$37)*SUM('Avg.Weighted Manufacturer Price'!D21:'Avg.Weighted Manufacturer Price'!D24)</f>
        <v>#NAME?</v>
      </c>
      <c r="K11" s="2804"/>
      <c r="L11" s="2804"/>
      <c r="M11" s="2266" t="s">
        <v>849</v>
      </c>
      <c r="N11" s="2267">
        <v>0.02</v>
      </c>
      <c r="O11" s="2268">
        <f>O9</f>
        <v>75000</v>
      </c>
      <c r="P11" s="2267"/>
      <c r="Q11" s="2269"/>
      <c r="R11" s="2272" t="e">
        <f ca="1">(N11*K10*J11)+O11</f>
        <v>#NAME?</v>
      </c>
      <c r="S11" s="2263"/>
    </row>
    <row r="12" spans="1:24" x14ac:dyDescent="0.2">
      <c r="B12" s="2208" t="s">
        <v>859</v>
      </c>
      <c r="C12" s="75"/>
      <c r="D12" s="76"/>
      <c r="E12" s="82">
        <f>ACV!D30*E5</f>
        <v>1.6604195188439713E-3</v>
      </c>
      <c r="F12" s="82">
        <f>ACV!D30*F5</f>
        <v>2.3245873263815597E-3</v>
      </c>
      <c r="G12" s="83">
        <f>ACV!D30*G5</f>
        <v>2.3245873263815597E-3</v>
      </c>
      <c r="I12" s="2802">
        <v>4</v>
      </c>
      <c r="J12" s="1253" t="e">
        <f ca="1">('BASES MODEL (Base Case)'!$F$37)*'Avg.Weighted Manufacturer Price'!D27</f>
        <v>#NAME?</v>
      </c>
      <c r="K12" s="2803">
        <f>'Avg.Weighted Manufacturer Price'!F34</f>
        <v>73.278874137354507</v>
      </c>
      <c r="L12" s="2803" t="e">
        <f ca="1">(J12+J13)*K12</f>
        <v>#NAME?</v>
      </c>
      <c r="M12" s="719" t="s">
        <v>847</v>
      </c>
      <c r="N12" s="724">
        <v>0.1</v>
      </c>
      <c r="O12" s="721"/>
      <c r="P12" s="722"/>
      <c r="Q12" s="723">
        <f>K12*N12</f>
        <v>7.3278874137354508</v>
      </c>
      <c r="R12" s="738" t="e">
        <f ca="1">Q12*J12</f>
        <v>#NAME?</v>
      </c>
      <c r="S12" s="2261" t="e">
        <f ca="1">R13+R12</f>
        <v>#NAME?</v>
      </c>
    </row>
    <row r="13" spans="1:24" x14ac:dyDescent="0.2">
      <c r="B13" s="2210" t="s">
        <v>860</v>
      </c>
      <c r="C13" s="86"/>
      <c r="D13" s="87"/>
      <c r="E13" s="88">
        <f>ACV!D35*E5</f>
        <v>2.1623147718157636E-2</v>
      </c>
      <c r="F13" s="88">
        <f>ACV!D35*F5</f>
        <v>3.027240680542069E-2</v>
      </c>
      <c r="G13" s="89">
        <f>ACV!D35*G5</f>
        <v>3.027240680542069E-2</v>
      </c>
      <c r="I13" s="2801"/>
      <c r="J13" s="1404" t="e">
        <f ca="1">('BASES MODEL (Base Case)'!$F$37)*SUM('Avg.Weighted Manufacturer Price'!D30:'Avg.Weighted Manufacturer Price'!D33)</f>
        <v>#NAME?</v>
      </c>
      <c r="K13" s="2804"/>
      <c r="L13" s="2804"/>
      <c r="M13" s="2266" t="s">
        <v>849</v>
      </c>
      <c r="N13" s="2267">
        <v>0.02</v>
      </c>
      <c r="O13" s="2268">
        <f>O11*(1+ACV!V8)</f>
        <v>81000</v>
      </c>
      <c r="P13" s="2267"/>
      <c r="Q13" s="2269"/>
      <c r="R13" s="2272" t="e">
        <f ca="1">(N13*K12*J13)+O13</f>
        <v>#NAME?</v>
      </c>
      <c r="S13" s="2264"/>
    </row>
    <row r="14" spans="1:24" x14ac:dyDescent="0.2">
      <c r="B14" s="2214" t="s">
        <v>861</v>
      </c>
      <c r="C14" s="2666" t="e">
        <f ca="1">RiskTriang(F18,G18,H18)</f>
        <v>#NAME?</v>
      </c>
      <c r="D14" s="2667" t="e">
        <f ca="1">C14*(1+D16)</f>
        <v>#NAME?</v>
      </c>
      <c r="E14" s="2667" t="e">
        <f t="shared" ref="E14:G14" ca="1" si="0">D14*(1+E16)</f>
        <v>#NAME?</v>
      </c>
      <c r="F14" s="2667" t="e">
        <f t="shared" ca="1" si="0"/>
        <v>#NAME?</v>
      </c>
      <c r="G14" s="2667" t="e">
        <f t="shared" ca="1" si="0"/>
        <v>#NAME?</v>
      </c>
      <c r="H14">
        <v>0.1416</v>
      </c>
      <c r="I14" s="2802">
        <v>5</v>
      </c>
      <c r="J14" s="1253" t="e">
        <f ca="1">'BASES MODEL (Base Case)'!$G$37*'Avg.Weighted Manufacturer Price'!D36</f>
        <v>#NAME?</v>
      </c>
      <c r="K14" s="2803">
        <f>'Avg.Weighted Manufacturer Price'!F43</f>
        <v>72.87782346630911</v>
      </c>
      <c r="L14" s="2803" t="e">
        <f ca="1">(J14+J15)*K14</f>
        <v>#NAME?</v>
      </c>
      <c r="M14" s="719" t="s">
        <v>847</v>
      </c>
      <c r="N14" s="724">
        <v>0.1</v>
      </c>
      <c r="O14" s="721"/>
      <c r="P14" s="722"/>
      <c r="Q14" s="723">
        <f>K14*N14</f>
        <v>7.2877823466309115</v>
      </c>
      <c r="R14" s="738" t="e">
        <f ca="1">Q14*J14</f>
        <v>#NAME?</v>
      </c>
      <c r="S14" s="2262" t="e">
        <f ca="1">R15+R14</f>
        <v>#NAME?</v>
      </c>
    </row>
    <row r="15" spans="1:24" x14ac:dyDescent="0.2">
      <c r="D15" t="e">
        <f ca="1">(D14-C14)/C14</f>
        <v>#NAME?</v>
      </c>
      <c r="E15" t="e">
        <f t="shared" ref="E15:G15" ca="1" si="1">(E14-D14)/D14</f>
        <v>#NAME?</v>
      </c>
      <c r="F15" t="e">
        <f t="shared" ca="1" si="1"/>
        <v>#NAME?</v>
      </c>
      <c r="G15" t="e">
        <f t="shared" ca="1" si="1"/>
        <v>#NAME?</v>
      </c>
      <c r="I15" s="2813"/>
      <c r="J15" s="1405" t="e">
        <f ca="1">('BASES MODEL (Base Case)'!$G$37)*SUM('Avg.Weighted Manufacturer Price'!D39:'Avg.Weighted Manufacturer Price'!D42)</f>
        <v>#NAME?</v>
      </c>
      <c r="K15" s="2810"/>
      <c r="L15" s="2810"/>
      <c r="M15" s="2279" t="s">
        <v>849</v>
      </c>
      <c r="N15" s="2280">
        <v>0.02</v>
      </c>
      <c r="O15" s="2281">
        <f>O13*(1+ACV!V8)</f>
        <v>87480</v>
      </c>
      <c r="P15" s="2280"/>
      <c r="Q15" s="2282"/>
      <c r="R15" s="2283" t="e">
        <f ca="1">(N15*K14*J15)+O15</f>
        <v>#NAME?</v>
      </c>
      <c r="S15" s="2265"/>
    </row>
    <row r="16" spans="1:24" ht="21" customHeight="1" thickTop="1" thickBot="1" x14ac:dyDescent="0.25">
      <c r="B16" s="1403" t="s">
        <v>862</v>
      </c>
      <c r="C16" s="16"/>
      <c r="D16" s="16">
        <v>0.1159322033898304</v>
      </c>
      <c r="E16" s="16">
        <v>5.0243733279403055E-3</v>
      </c>
      <c r="F16">
        <v>0.36332761407276087</v>
      </c>
      <c r="G16">
        <v>2.549943874335206E-2</v>
      </c>
      <c r="M16" s="103"/>
      <c r="Q16" s="16"/>
      <c r="R16" s="16"/>
      <c r="S16" s="16"/>
    </row>
    <row r="17" spans="2:20" ht="41.25" customHeight="1" thickTop="1" thickBot="1" x14ac:dyDescent="0.25">
      <c r="B17" s="1401">
        <v>1326472</v>
      </c>
      <c r="C17" s="101" t="s">
        <v>863</v>
      </c>
      <c r="D17" s="102" t="s">
        <v>864</v>
      </c>
      <c r="E17" s="2694" t="s">
        <v>865</v>
      </c>
      <c r="F17" s="2698" t="s">
        <v>1539</v>
      </c>
      <c r="G17" s="2699" t="s">
        <v>1502</v>
      </c>
      <c r="H17" s="2700" t="s">
        <v>1540</v>
      </c>
      <c r="I17" s="2696" t="s">
        <v>866</v>
      </c>
      <c r="M17" s="103"/>
      <c r="Q17" s="16"/>
      <c r="R17" s="16"/>
      <c r="S17" s="16"/>
    </row>
    <row r="18" spans="2:20" ht="27.75" customHeight="1" thickTop="1" thickBot="1" x14ac:dyDescent="0.25">
      <c r="B18" s="104" t="s">
        <v>867</v>
      </c>
      <c r="C18" s="105">
        <f>B17*D18</f>
        <v>119382.48</v>
      </c>
      <c r="D18" s="106">
        <v>0.09</v>
      </c>
      <c r="E18" s="2695"/>
      <c r="F18" s="2701">
        <v>0.1229088</v>
      </c>
      <c r="G18" s="2702">
        <v>0.1416</v>
      </c>
      <c r="H18" s="2703">
        <v>0.14584800000000001</v>
      </c>
      <c r="I18" s="2697" t="s">
        <v>836</v>
      </c>
      <c r="J18" s="2256" t="s">
        <v>868</v>
      </c>
      <c r="K18" s="2256" t="s">
        <v>869</v>
      </c>
      <c r="L18" s="2256" t="s">
        <v>870</v>
      </c>
      <c r="M18" s="2256" t="s">
        <v>871</v>
      </c>
      <c r="N18" s="2257" t="s">
        <v>872</v>
      </c>
      <c r="O18" s="2256" t="s">
        <v>873</v>
      </c>
      <c r="P18" s="2256" t="s">
        <v>874</v>
      </c>
      <c r="Q18" s="2257" t="s">
        <v>875</v>
      </c>
      <c r="R18" s="2250" t="s">
        <v>876</v>
      </c>
      <c r="S18" s="2250" t="s">
        <v>877</v>
      </c>
      <c r="T18" s="2258" t="s">
        <v>878</v>
      </c>
    </row>
    <row r="19" spans="2:20" ht="30" customHeight="1" x14ac:dyDescent="0.2">
      <c r="B19" s="107" t="s">
        <v>879</v>
      </c>
      <c r="C19" s="108"/>
      <c r="D19" s="109"/>
      <c r="E19" s="110"/>
      <c r="I19" s="2242">
        <v>3</v>
      </c>
      <c r="J19" s="730" t="s">
        <v>880</v>
      </c>
      <c r="K19" s="673">
        <v>1</v>
      </c>
      <c r="L19" s="673">
        <v>3</v>
      </c>
      <c r="M19" s="673">
        <v>2</v>
      </c>
      <c r="N19" s="1359">
        <v>3</v>
      </c>
      <c r="O19" s="673">
        <v>2</v>
      </c>
      <c r="P19" s="673">
        <v>2</v>
      </c>
      <c r="Q19" s="1359">
        <f>(K19*L19*M19)+(N19*O19*P19)</f>
        <v>18</v>
      </c>
      <c r="R19" s="1360">
        <v>372</v>
      </c>
      <c r="S19" s="2291">
        <f>Q19/R19</f>
        <v>4.8387096774193547E-2</v>
      </c>
      <c r="T19" s="795"/>
    </row>
    <row r="20" spans="2:20" ht="30" customHeight="1" x14ac:dyDescent="0.2">
      <c r="B20" s="112" t="s">
        <v>881</v>
      </c>
      <c r="C20" s="113"/>
      <c r="D20" s="114"/>
      <c r="E20" s="115"/>
      <c r="I20" s="2242"/>
      <c r="J20" s="730" t="s">
        <v>882</v>
      </c>
      <c r="K20" s="673">
        <v>1</v>
      </c>
      <c r="L20" s="673">
        <v>3</v>
      </c>
      <c r="M20" s="673">
        <v>2</v>
      </c>
      <c r="N20" s="1359">
        <v>1</v>
      </c>
      <c r="O20" s="673">
        <v>2</v>
      </c>
      <c r="P20" s="673">
        <v>2</v>
      </c>
      <c r="Q20" s="1361">
        <f>(K20*L20*M20)+(N20*O20*P20)</f>
        <v>10</v>
      </c>
      <c r="R20" s="1360">
        <v>372</v>
      </c>
      <c r="S20" s="2291">
        <f>Q20/R20</f>
        <v>2.6881720430107527E-2</v>
      </c>
      <c r="T20" s="714"/>
    </row>
    <row r="21" spans="2:20" ht="32" x14ac:dyDescent="0.2">
      <c r="B21" s="116" t="s">
        <v>883</v>
      </c>
      <c r="C21" s="117">
        <f>D21*B17</f>
        <v>460285.78399999999</v>
      </c>
      <c r="D21" s="118">
        <v>0.34699999999999998</v>
      </c>
      <c r="E21" s="119"/>
      <c r="I21" s="2242"/>
      <c r="J21" s="731" t="s">
        <v>884</v>
      </c>
      <c r="K21" s="1362">
        <v>1</v>
      </c>
      <c r="L21" s="1362">
        <v>3</v>
      </c>
      <c r="M21" s="1362">
        <v>2</v>
      </c>
      <c r="N21" s="1363">
        <v>7</v>
      </c>
      <c r="O21" s="1362">
        <v>2</v>
      </c>
      <c r="P21" s="1362">
        <v>2</v>
      </c>
      <c r="Q21" s="1359">
        <f>(K21*L21*M21)+(N21*O21*P21)</f>
        <v>34</v>
      </c>
      <c r="R21" s="1364">
        <v>372</v>
      </c>
      <c r="S21" s="2292">
        <f>Q21/R21</f>
        <v>9.1397849462365593E-2</v>
      </c>
      <c r="T21" s="714"/>
    </row>
    <row r="22" spans="2:20" x14ac:dyDescent="0.2">
      <c r="B22" s="107" t="s">
        <v>668</v>
      </c>
      <c r="C22" s="120">
        <v>181716</v>
      </c>
      <c r="D22" s="121">
        <f>C22/$C$21*$D$21</f>
        <v>0.13699196062939889</v>
      </c>
      <c r="E22" s="80">
        <f>C22/$C$21</f>
        <v>0.394789511900285</v>
      </c>
      <c r="I22" s="2243"/>
      <c r="J22" s="2285" t="s">
        <v>885</v>
      </c>
      <c r="K22" s="1365"/>
      <c r="L22" s="1365"/>
      <c r="M22" s="1365"/>
      <c r="N22" s="1366"/>
      <c r="O22" s="1365"/>
      <c r="P22" s="1365"/>
      <c r="Q22" s="2286">
        <f>SUM(Q19:Q21)</f>
        <v>62</v>
      </c>
      <c r="R22" s="1367"/>
      <c r="S22" s="2293">
        <f>SUM(S19:S21)</f>
        <v>0.16666666666666669</v>
      </c>
      <c r="T22" s="2287">
        <f>ROUNDUP(S22,0)</f>
        <v>1</v>
      </c>
    </row>
    <row r="23" spans="2:20" ht="29.25" customHeight="1" x14ac:dyDescent="0.2">
      <c r="B23" s="2215" t="s">
        <v>86</v>
      </c>
      <c r="C23" s="122">
        <v>72618</v>
      </c>
      <c r="D23" s="2222">
        <f>C23/$C$21*$D$21</f>
        <v>5.4745218896441086E-2</v>
      </c>
      <c r="E23" s="32">
        <f>C23/$C$21</f>
        <v>0.15776720143066597</v>
      </c>
      <c r="I23" s="2244">
        <v>4</v>
      </c>
      <c r="J23" s="730" t="s">
        <v>880</v>
      </c>
      <c r="K23" s="673">
        <v>1</v>
      </c>
      <c r="L23" s="673">
        <v>3</v>
      </c>
      <c r="M23" s="673">
        <v>2</v>
      </c>
      <c r="N23" s="1359">
        <v>3</v>
      </c>
      <c r="O23" s="673">
        <v>2</v>
      </c>
      <c r="P23" s="673">
        <v>2</v>
      </c>
      <c r="Q23" s="1359">
        <f>(K23*L23*M23)+(N23*O23*P23)</f>
        <v>18</v>
      </c>
      <c r="R23" s="1360">
        <v>372</v>
      </c>
      <c r="S23" s="2291">
        <f>Q23/R23</f>
        <v>4.8387096774193547E-2</v>
      </c>
      <c r="T23" s="714"/>
    </row>
    <row r="24" spans="2:20" ht="29.25" customHeight="1" x14ac:dyDescent="0.2">
      <c r="B24" s="112" t="s">
        <v>886</v>
      </c>
      <c r="C24" s="123">
        <v>12074</v>
      </c>
      <c r="D24" s="124">
        <f>C24/$C$21*$D$21</f>
        <v>9.1023406449589582E-3</v>
      </c>
      <c r="E24" s="35">
        <f>C24/$C$21</f>
        <v>2.6231529236192964E-2</v>
      </c>
      <c r="I24" s="2242"/>
      <c r="J24" s="730" t="s">
        <v>882</v>
      </c>
      <c r="K24" s="673">
        <v>1</v>
      </c>
      <c r="L24" s="673">
        <v>3</v>
      </c>
      <c r="M24" s="673">
        <v>2</v>
      </c>
      <c r="N24" s="1359">
        <v>1</v>
      </c>
      <c r="O24" s="673">
        <v>2</v>
      </c>
      <c r="P24" s="673">
        <v>2</v>
      </c>
      <c r="Q24" s="1359">
        <f>(K24*L24*M24)+(N24*O24*P24)</f>
        <v>10</v>
      </c>
      <c r="R24" s="1360">
        <v>372</v>
      </c>
      <c r="S24" s="2291">
        <f>Q24/R24</f>
        <v>2.6881720430107527E-2</v>
      </c>
      <c r="T24" s="714"/>
    </row>
    <row r="25" spans="2:20" ht="32" x14ac:dyDescent="0.2">
      <c r="B25" s="116" t="s">
        <v>887</v>
      </c>
      <c r="C25" s="125">
        <f>B17*D25</f>
        <v>94179.511999999988</v>
      </c>
      <c r="D25" s="118">
        <v>7.0999999999999994E-2</v>
      </c>
      <c r="E25" s="126"/>
      <c r="I25" s="2242"/>
      <c r="J25" s="730" t="s">
        <v>884</v>
      </c>
      <c r="K25" s="673">
        <v>1</v>
      </c>
      <c r="L25" s="673">
        <v>3</v>
      </c>
      <c r="M25" s="673">
        <v>2</v>
      </c>
      <c r="N25" s="1359">
        <v>7</v>
      </c>
      <c r="O25" s="673">
        <v>2</v>
      </c>
      <c r="P25" s="673">
        <v>2</v>
      </c>
      <c r="Q25" s="1359">
        <f>(K25*L25*M25)+(N25*O25*P25)</f>
        <v>34</v>
      </c>
      <c r="R25" s="1360">
        <v>372</v>
      </c>
      <c r="S25" s="2291">
        <f>Q25/R25</f>
        <v>9.1397849462365593E-2</v>
      </c>
      <c r="T25" s="714"/>
    </row>
    <row r="26" spans="2:20" ht="32" x14ac:dyDescent="0.2">
      <c r="B26" s="107" t="s">
        <v>888</v>
      </c>
      <c r="C26" s="120">
        <v>27080</v>
      </c>
      <c r="D26" s="127">
        <f>C26/$C$25*$D$25</f>
        <v>2.041505587754585E-2</v>
      </c>
      <c r="E26" s="128">
        <f>C26/$C$25</f>
        <v>0.28753599827529369</v>
      </c>
      <c r="I26" s="2242"/>
      <c r="J26" s="731" t="s">
        <v>889</v>
      </c>
      <c r="K26" s="1362">
        <v>1</v>
      </c>
      <c r="L26" s="1362">
        <v>3</v>
      </c>
      <c r="M26" s="1362">
        <v>3</v>
      </c>
      <c r="N26" s="1363">
        <v>18</v>
      </c>
      <c r="O26" s="1362">
        <v>2</v>
      </c>
      <c r="P26" s="1362">
        <v>2</v>
      </c>
      <c r="Q26" s="1359">
        <f>(K26*L26*M26)+(N26*O26*P26)</f>
        <v>81</v>
      </c>
      <c r="R26" s="1364">
        <v>372</v>
      </c>
      <c r="S26" s="2292">
        <f>Q26/R26</f>
        <v>0.21774193548387097</v>
      </c>
      <c r="T26" s="714"/>
    </row>
    <row r="27" spans="2:20" x14ac:dyDescent="0.2">
      <c r="B27" s="2224" t="s">
        <v>890</v>
      </c>
      <c r="C27" s="129">
        <v>14400</v>
      </c>
      <c r="D27" s="2223">
        <f>C27/$C$25*$D$25</f>
        <v>1.0855864277572387E-2</v>
      </c>
      <c r="E27" s="130">
        <f>C27/$C$25</f>
        <v>0.15289949686721674</v>
      </c>
      <c r="I27" s="2243"/>
      <c r="J27" s="2285" t="s">
        <v>885</v>
      </c>
      <c r="K27" s="1365"/>
      <c r="L27" s="1365"/>
      <c r="M27" s="1365"/>
      <c r="N27" s="1366"/>
      <c r="O27" s="1365"/>
      <c r="P27" s="1365"/>
      <c r="Q27" s="2286">
        <f>SUM(Q23:Q26)</f>
        <v>143</v>
      </c>
      <c r="R27" s="1367"/>
      <c r="S27" s="2293">
        <f>SUM(S23:S26)</f>
        <v>0.38440860215053763</v>
      </c>
      <c r="T27" s="2287">
        <f>ROUNDUP(S27,0)</f>
        <v>1</v>
      </c>
    </row>
    <row r="28" spans="2:20" ht="42" customHeight="1" x14ac:dyDescent="0.2">
      <c r="B28" s="112" t="s">
        <v>891</v>
      </c>
      <c r="C28" s="123">
        <v>19200</v>
      </c>
      <c r="D28" s="131">
        <f>C28/$C$25*$D$25</f>
        <v>1.4474485703429851E-2</v>
      </c>
      <c r="E28" s="132">
        <f>C28/$C$25</f>
        <v>0.20386599582295567</v>
      </c>
      <c r="I28" s="2242">
        <v>5</v>
      </c>
      <c r="J28" s="730" t="s">
        <v>880</v>
      </c>
      <c r="K28" s="673">
        <v>1</v>
      </c>
      <c r="L28" s="673">
        <v>3</v>
      </c>
      <c r="M28" s="673">
        <v>2</v>
      </c>
      <c r="N28" s="1359">
        <v>3</v>
      </c>
      <c r="O28" s="673">
        <v>2</v>
      </c>
      <c r="P28" s="673">
        <v>2</v>
      </c>
      <c r="Q28" s="1359">
        <f>(K28*L28*M28)+(N28*O28*P28)</f>
        <v>18</v>
      </c>
      <c r="R28" s="1360">
        <v>372</v>
      </c>
      <c r="S28" s="2291">
        <f>Q28/R28</f>
        <v>4.8387096774193547E-2</v>
      </c>
      <c r="T28" s="714"/>
    </row>
    <row r="29" spans="2:20" ht="25.5" customHeight="1" x14ac:dyDescent="0.2">
      <c r="B29" s="133" t="s">
        <v>892</v>
      </c>
      <c r="C29" s="125">
        <f>B17*D29</f>
        <v>120708.95199999999</v>
      </c>
      <c r="D29" s="134">
        <v>9.0999999999999998E-2</v>
      </c>
      <c r="E29" s="126"/>
      <c r="I29" s="2245"/>
      <c r="J29" s="730" t="s">
        <v>882</v>
      </c>
      <c r="K29" s="673">
        <v>1</v>
      </c>
      <c r="L29" s="673">
        <v>3</v>
      </c>
      <c r="M29" s="673">
        <v>2</v>
      </c>
      <c r="N29" s="1359">
        <v>1</v>
      </c>
      <c r="O29" s="673">
        <v>2</v>
      </c>
      <c r="P29" s="673">
        <v>2</v>
      </c>
      <c r="Q29" s="1359">
        <f>(K29*L29*M29)+(N29*O29*P29)</f>
        <v>10</v>
      </c>
      <c r="R29" s="1360">
        <v>372</v>
      </c>
      <c r="S29" s="2291">
        <f>Q29/R29</f>
        <v>2.6881720430107527E-2</v>
      </c>
      <c r="T29" s="714"/>
    </row>
    <row r="30" spans="2:20" ht="30" customHeight="1" x14ac:dyDescent="0.2">
      <c r="B30" s="2225" t="s">
        <v>893</v>
      </c>
      <c r="C30" s="135">
        <v>4405</v>
      </c>
      <c r="D30" s="2226">
        <f>C30/$C$29*$D$29</f>
        <v>3.3208390376879425E-3</v>
      </c>
      <c r="E30" s="128">
        <f>C30/$C$29</f>
        <v>3.6492736677889479E-2</v>
      </c>
      <c r="I30" s="2242"/>
      <c r="J30" s="730" t="s">
        <v>884</v>
      </c>
      <c r="K30" s="673">
        <v>1</v>
      </c>
      <c r="L30" s="673">
        <v>3</v>
      </c>
      <c r="M30" s="673">
        <v>2</v>
      </c>
      <c r="N30" s="1359">
        <v>7</v>
      </c>
      <c r="O30" s="673">
        <v>2</v>
      </c>
      <c r="P30" s="673">
        <v>2</v>
      </c>
      <c r="Q30" s="1359">
        <f>(K30*L30*M30)+(N30*O30*P30)</f>
        <v>34</v>
      </c>
      <c r="R30" s="1360">
        <v>372</v>
      </c>
      <c r="S30" s="2291">
        <f>Q30/R30</f>
        <v>9.1397849462365593E-2</v>
      </c>
      <c r="T30" s="714"/>
    </row>
    <row r="31" spans="2:20" ht="28.5" customHeight="1" x14ac:dyDescent="0.2">
      <c r="B31" s="136" t="s">
        <v>894</v>
      </c>
      <c r="C31" s="129">
        <v>4000</v>
      </c>
      <c r="D31" s="137">
        <f>C31/$C$29*$D$29</f>
        <v>3.0155178548812193E-3</v>
      </c>
      <c r="E31" s="130">
        <f>C31/$C$29</f>
        <v>3.3137558844848564E-2</v>
      </c>
      <c r="I31" s="2289"/>
      <c r="J31" s="731" t="s">
        <v>889</v>
      </c>
      <c r="K31" s="1362">
        <v>1</v>
      </c>
      <c r="L31" s="1362">
        <v>3</v>
      </c>
      <c r="M31" s="1362">
        <v>3</v>
      </c>
      <c r="N31" s="1363">
        <v>18</v>
      </c>
      <c r="O31" s="1362">
        <v>2</v>
      </c>
      <c r="P31" s="1362">
        <v>2</v>
      </c>
      <c r="Q31" s="1363">
        <f>(K31*L31*M31)+(N31*O31*P31)</f>
        <v>81</v>
      </c>
      <c r="R31" s="1364">
        <v>372</v>
      </c>
      <c r="S31" s="2292">
        <f>Q31/R31</f>
        <v>0.21774193548387097</v>
      </c>
      <c r="T31" s="2290"/>
    </row>
    <row r="32" spans="2:20" ht="16.5" customHeight="1" x14ac:dyDescent="0.2">
      <c r="B32" s="138" t="s">
        <v>895</v>
      </c>
      <c r="C32" s="139">
        <v>6810</v>
      </c>
      <c r="D32" s="140">
        <f>C32/$C$29*$D$29</f>
        <v>5.133919147935275E-3</v>
      </c>
      <c r="E32" s="132">
        <f>C32/$C$29</f>
        <v>5.6416693933354675E-2</v>
      </c>
      <c r="I32" s="2246"/>
      <c r="J32" s="2284" t="s">
        <v>885</v>
      </c>
      <c r="K32" s="671"/>
      <c r="L32" s="671"/>
      <c r="M32" s="671"/>
      <c r="N32" s="737"/>
      <c r="O32" s="671"/>
      <c r="P32" s="671"/>
      <c r="Q32" s="2288">
        <f>SUM(Q28:Q31)</f>
        <v>143</v>
      </c>
      <c r="R32" s="732"/>
      <c r="S32" s="2294">
        <f>SUM(S28:S31)</f>
        <v>0.38440860215053763</v>
      </c>
      <c r="T32" s="2295">
        <f>ROUNDUP(S31,0)</f>
        <v>1</v>
      </c>
    </row>
    <row r="33" spans="2:7" ht="16.5" customHeight="1" x14ac:dyDescent="0.2">
      <c r="B33" s="116" t="s">
        <v>896</v>
      </c>
      <c r="C33" s="125">
        <f>B17*D33</f>
        <v>372738.63200000004</v>
      </c>
      <c r="D33" s="118">
        <v>0.28100000000000003</v>
      </c>
      <c r="E33" s="126"/>
    </row>
    <row r="34" spans="2:7" ht="18.75" customHeight="1" x14ac:dyDescent="0.2">
      <c r="B34" s="107" t="s">
        <v>897</v>
      </c>
      <c r="C34" s="120">
        <v>129025</v>
      </c>
      <c r="D34" s="127">
        <f>C34/$C$33*$D$33</f>
        <v>9.726929780651232E-2</v>
      </c>
      <c r="E34" s="128">
        <f>C34/C33</f>
        <v>0.34615408472068437</v>
      </c>
    </row>
    <row r="35" spans="2:7" ht="18.75" customHeight="1" x14ac:dyDescent="0.2">
      <c r="B35" s="2227" t="s">
        <v>898</v>
      </c>
      <c r="C35" s="123">
        <v>57365</v>
      </c>
      <c r="D35" s="2233">
        <f>C35/$C$33*$D$33</f>
        <v>4.3246295436315273E-2</v>
      </c>
      <c r="E35" s="132">
        <f>C35/C33</f>
        <v>0.15390140724667356</v>
      </c>
    </row>
    <row r="36" spans="2:7" ht="18" customHeight="1" x14ac:dyDescent="0.2">
      <c r="B36" s="116" t="s">
        <v>76</v>
      </c>
      <c r="C36" s="125">
        <f>B17*D36</f>
        <v>159176.63999999998</v>
      </c>
      <c r="D36" s="118">
        <v>0.12</v>
      </c>
      <c r="E36" s="126"/>
    </row>
    <row r="37" spans="2:7" x14ac:dyDescent="0.2">
      <c r="B37" s="107" t="s">
        <v>899</v>
      </c>
      <c r="C37" s="120">
        <v>135987</v>
      </c>
      <c r="D37" s="127">
        <f>C37/$C$36*$D$36</f>
        <v>0.10251780663293308</v>
      </c>
      <c r="E37" s="128">
        <f>C37/C36</f>
        <v>0.8543150552744424</v>
      </c>
    </row>
    <row r="38" spans="2:7" ht="31.5" customHeight="1" x14ac:dyDescent="0.2">
      <c r="B38" s="141" t="s">
        <v>900</v>
      </c>
      <c r="C38" s="142">
        <v>14720</v>
      </c>
      <c r="D38" s="143">
        <f>C38/$C$36*$D$36</f>
        <v>1.1097105705962887E-2</v>
      </c>
      <c r="E38" s="144">
        <f>C38/C36</f>
        <v>9.2475880883024053E-2</v>
      </c>
    </row>
    <row r="40" spans="2:7" x14ac:dyDescent="0.2">
      <c r="B40" s="1355" t="s">
        <v>901</v>
      </c>
      <c r="C40" s="16"/>
      <c r="D40" s="16"/>
    </row>
    <row r="41" spans="2:7" x14ac:dyDescent="0.2">
      <c r="B41" s="16"/>
      <c r="C41" s="16"/>
      <c r="D41" s="16"/>
    </row>
    <row r="42" spans="2:7" x14ac:dyDescent="0.2">
      <c r="B42" s="1353" t="s">
        <v>902</v>
      </c>
      <c r="C42" s="1352"/>
      <c r="D42" s="1352"/>
      <c r="F42" s="1353" t="s">
        <v>903</v>
      </c>
      <c r="G42" s="16"/>
    </row>
    <row r="43" spans="2:7" x14ac:dyDescent="0.2">
      <c r="B43" s="1354" t="s">
        <v>883</v>
      </c>
      <c r="C43" s="1345">
        <v>0.20100000000000001</v>
      </c>
      <c r="D43" s="1340">
        <v>0.54</v>
      </c>
      <c r="F43" s="1354" t="s">
        <v>883</v>
      </c>
      <c r="G43" s="1347">
        <v>0.34699999999999998</v>
      </c>
    </row>
    <row r="44" spans="2:7" x14ac:dyDescent="0.2">
      <c r="B44" s="1341" t="s">
        <v>887</v>
      </c>
      <c r="C44" s="1344">
        <v>0.23799999999999999</v>
      </c>
      <c r="D44" s="1342">
        <v>0.64</v>
      </c>
      <c r="F44" s="1341" t="s">
        <v>887</v>
      </c>
      <c r="G44" s="1348">
        <v>7.0999999999999994E-2</v>
      </c>
    </row>
    <row r="45" spans="2:7" x14ac:dyDescent="0.2">
      <c r="B45" s="1341" t="s">
        <v>904</v>
      </c>
      <c r="C45" s="1344">
        <v>0.126</v>
      </c>
      <c r="D45" s="1342">
        <v>0.34</v>
      </c>
      <c r="F45" s="1341" t="s">
        <v>892</v>
      </c>
      <c r="G45" s="1348">
        <v>9.0999999999999998E-2</v>
      </c>
    </row>
    <row r="46" spans="2:7" x14ac:dyDescent="0.2">
      <c r="B46" s="1341" t="s">
        <v>76</v>
      </c>
      <c r="C46" s="1344">
        <v>0.32700000000000001</v>
      </c>
      <c r="D46" s="1342">
        <v>0.88</v>
      </c>
      <c r="F46" s="1341" t="s">
        <v>851</v>
      </c>
      <c r="G46" s="1348">
        <v>0.09</v>
      </c>
    </row>
    <row r="47" spans="2:7" x14ac:dyDescent="0.2">
      <c r="B47" s="1341" t="s">
        <v>905</v>
      </c>
      <c r="C47" s="1344">
        <v>5.8999999999999997E-2</v>
      </c>
      <c r="D47" s="1342">
        <v>0.16</v>
      </c>
      <c r="F47" s="1341" t="s">
        <v>76</v>
      </c>
      <c r="G47" s="1348">
        <v>0.12</v>
      </c>
    </row>
    <row r="48" spans="2:7" x14ac:dyDescent="0.2">
      <c r="B48" s="1341" t="s">
        <v>748</v>
      </c>
      <c r="C48" s="1344">
        <v>4.8000000000000001E-2</v>
      </c>
      <c r="D48" s="1342">
        <v>0.13</v>
      </c>
      <c r="F48" s="1341" t="s">
        <v>905</v>
      </c>
      <c r="G48" s="1348">
        <v>0.28100000000000003</v>
      </c>
    </row>
    <row r="49" spans="2:7" x14ac:dyDescent="0.2">
      <c r="B49" s="1351" t="s">
        <v>885</v>
      </c>
      <c r="C49" s="1346">
        <v>1</v>
      </c>
      <c r="D49" s="1343">
        <v>2.69</v>
      </c>
      <c r="F49" s="1351" t="s">
        <v>885</v>
      </c>
      <c r="G49" s="1349">
        <v>1</v>
      </c>
    </row>
    <row r="50" spans="2:7" x14ac:dyDescent="0.2">
      <c r="B50" s="16"/>
      <c r="C50" s="16"/>
      <c r="D50" s="16"/>
    </row>
    <row r="51" spans="2:7" x14ac:dyDescent="0.2">
      <c r="B51" s="1356" t="s">
        <v>906</v>
      </c>
      <c r="C51" s="1340">
        <v>0.27</v>
      </c>
      <c r="D51" s="16"/>
    </row>
    <row r="52" spans="2:7" x14ac:dyDescent="0.2">
      <c r="B52" s="1357" t="s">
        <v>907</v>
      </c>
      <c r="C52" s="1342">
        <v>0.32700000000000001</v>
      </c>
      <c r="D52" s="16"/>
    </row>
    <row r="53" spans="2:7" x14ac:dyDescent="0.2">
      <c r="B53" s="1357" t="s">
        <v>908</v>
      </c>
      <c r="C53" s="1342">
        <v>0.12</v>
      </c>
      <c r="D53" s="16"/>
    </row>
    <row r="54" spans="2:7" x14ac:dyDescent="0.2">
      <c r="B54" s="1357" t="s">
        <v>909</v>
      </c>
      <c r="C54" s="1342">
        <v>0.20699999999999999</v>
      </c>
      <c r="D54" s="16"/>
    </row>
    <row r="55" spans="2:7" x14ac:dyDescent="0.2">
      <c r="B55" s="1350" t="s">
        <v>910</v>
      </c>
      <c r="C55" s="1343">
        <v>4.1399999999999999E-2</v>
      </c>
      <c r="D55" s="16"/>
    </row>
  </sheetData>
  <mergeCells count="21">
    <mergeCell ref="L10:L11"/>
    <mergeCell ref="L12:L13"/>
    <mergeCell ref="L14:L15"/>
    <mergeCell ref="J6:J7"/>
    <mergeCell ref="I14:I15"/>
    <mergeCell ref="J8:J9"/>
    <mergeCell ref="K12:K13"/>
    <mergeCell ref="K14:K15"/>
    <mergeCell ref="I12:I13"/>
    <mergeCell ref="L6:L7"/>
    <mergeCell ref="C4:D4"/>
    <mergeCell ref="C5:D5"/>
    <mergeCell ref="I10:I11"/>
    <mergeCell ref="K6:K7"/>
    <mergeCell ref="K8:K9"/>
    <mergeCell ref="K10:K11"/>
    <mergeCell ref="U4:X4"/>
    <mergeCell ref="V9:X9"/>
    <mergeCell ref="I6:I7"/>
    <mergeCell ref="I8:I9"/>
    <mergeCell ref="L8:L9"/>
  </mergeCells>
  <phoneticPr fontId="59" type="noConversion"/>
  <hyperlinks>
    <hyperlink ref="A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81"/>
  <sheetViews>
    <sheetView showGridLines="0" zoomScale="109" zoomScaleNormal="109" zoomScalePageLayoutView="109" workbookViewId="0">
      <pane ySplit="4" topLeftCell="A5" activePane="bottomLeft" state="frozen"/>
      <selection pane="bottomLeft" activeCell="K11" sqref="K11"/>
    </sheetView>
  </sheetViews>
  <sheetFormatPr baseColWidth="10" defaultColWidth="8.83203125" defaultRowHeight="16" x14ac:dyDescent="0.2"/>
  <cols>
    <col min="1" max="1" width="8.83203125" style="2"/>
    <col min="2" max="2" width="40.1640625" style="2" customWidth="1"/>
    <col min="3" max="3" width="12" style="2" bestFit="1" customWidth="1"/>
    <col min="4" max="7" width="13.83203125" style="2" bestFit="1" customWidth="1"/>
    <col min="8" max="8" width="14.6640625" style="2" bestFit="1" customWidth="1"/>
    <col min="9" max="9" width="3.5" style="2" customWidth="1"/>
    <col min="10" max="10" width="19" style="2" customWidth="1"/>
    <col min="11" max="11" width="20.5" style="2" customWidth="1"/>
    <col min="12" max="12" width="9" style="2" bestFit="1" customWidth="1"/>
    <col min="13" max="13" width="8.83203125" style="2"/>
    <col min="14" max="14" width="10.1640625" style="2" bestFit="1" customWidth="1"/>
    <col min="15" max="16384" width="8.83203125" style="2"/>
  </cols>
  <sheetData>
    <row r="1" spans="1:18" x14ac:dyDescent="0.2">
      <c r="A1" s="1771" t="s">
        <v>38</v>
      </c>
      <c r="J1" s="3" t="s">
        <v>1133</v>
      </c>
    </row>
    <row r="2" spans="1:18" x14ac:dyDescent="0.2">
      <c r="B2" s="145" t="s">
        <v>1134</v>
      </c>
      <c r="J2" s="1475" t="s">
        <v>1135</v>
      </c>
    </row>
    <row r="3" spans="1:18" x14ac:dyDescent="0.2">
      <c r="B3" s="145" t="s">
        <v>28</v>
      </c>
      <c r="J3" s="1476" t="s">
        <v>1136</v>
      </c>
    </row>
    <row r="4" spans="1:18" x14ac:dyDescent="0.2">
      <c r="B4" s="146" t="s">
        <v>1137</v>
      </c>
      <c r="C4" s="696" t="s">
        <v>1138</v>
      </c>
      <c r="D4" s="696" t="s">
        <v>71</v>
      </c>
      <c r="E4" s="696" t="s">
        <v>72</v>
      </c>
      <c r="F4" s="696" t="s">
        <v>73</v>
      </c>
      <c r="G4" s="696" t="s">
        <v>74</v>
      </c>
      <c r="H4" s="696" t="s">
        <v>75</v>
      </c>
      <c r="J4" s="1482" t="s">
        <v>1139</v>
      </c>
    </row>
    <row r="5" spans="1:18" ht="17" thickBot="1" x14ac:dyDescent="0.25">
      <c r="B5" s="146"/>
      <c r="C5" s="696"/>
      <c r="D5" s="696"/>
      <c r="E5" s="696"/>
      <c r="F5" s="696"/>
      <c r="G5" s="696"/>
      <c r="H5" s="696"/>
      <c r="J5" s="2715"/>
    </row>
    <row r="6" spans="1:18" ht="17" thickBot="1" x14ac:dyDescent="0.25">
      <c r="B6" s="2727" t="s">
        <v>173</v>
      </c>
      <c r="C6" s="2724" t="s">
        <v>1517</v>
      </c>
      <c r="D6" s="2724" t="s">
        <v>1519</v>
      </c>
      <c r="E6" s="2724" t="s">
        <v>1481</v>
      </c>
      <c r="F6" s="2725" t="s">
        <v>1482</v>
      </c>
      <c r="G6" s="696"/>
      <c r="H6" s="696"/>
      <c r="J6" s="2715"/>
    </row>
    <row r="7" spans="1:18" x14ac:dyDescent="0.2">
      <c r="B7" s="2728" t="s">
        <v>1520</v>
      </c>
      <c r="C7" s="2716">
        <v>26.14</v>
      </c>
      <c r="D7" s="2717" t="s">
        <v>1521</v>
      </c>
      <c r="E7" s="2718"/>
      <c r="F7" s="2719"/>
      <c r="G7" s="2744" t="s">
        <v>1522</v>
      </c>
      <c r="H7" s="2745"/>
      <c r="I7" s="2745"/>
      <c r="J7" s="2745"/>
      <c r="K7" s="2745"/>
      <c r="L7" s="2745"/>
      <c r="M7" s="2746"/>
      <c r="N7" s="2746"/>
      <c r="O7" s="2746"/>
      <c r="P7" s="2746"/>
      <c r="Q7" s="2746"/>
      <c r="R7" s="2747"/>
    </row>
    <row r="8" spans="1:18" ht="17" thickBot="1" x14ac:dyDescent="0.25">
      <c r="B8" s="2729" t="s">
        <v>431</v>
      </c>
      <c r="C8" s="2720">
        <v>8.6999999999999993</v>
      </c>
      <c r="D8" s="2720"/>
      <c r="E8" s="2720">
        <v>7.9</v>
      </c>
      <c r="F8" s="2721">
        <v>11.8</v>
      </c>
      <c r="G8" s="2748" t="s">
        <v>1523</v>
      </c>
      <c r="H8" s="2749"/>
      <c r="I8" s="2749"/>
      <c r="J8" s="2749"/>
      <c r="K8" s="2749"/>
      <c r="L8" s="2749"/>
      <c r="M8" s="2749"/>
      <c r="N8" s="2749"/>
      <c r="O8" s="2749"/>
      <c r="P8" s="2749"/>
      <c r="Q8" s="2749"/>
      <c r="R8" s="2750"/>
    </row>
    <row r="9" spans="1:18" x14ac:dyDescent="0.2">
      <c r="B9" s="146"/>
      <c r="C9" s="696"/>
      <c r="D9" s="696"/>
      <c r="E9" s="696"/>
      <c r="F9" s="696"/>
      <c r="G9" s="696"/>
      <c r="H9" s="696"/>
      <c r="J9" s="2715"/>
    </row>
    <row r="10" spans="1:18" x14ac:dyDescent="0.2">
      <c r="B10" s="146"/>
      <c r="C10" s="696"/>
      <c r="D10" s="696"/>
      <c r="E10" s="696"/>
      <c r="F10" s="696"/>
      <c r="G10" s="696"/>
      <c r="H10" s="696"/>
      <c r="J10" s="2715"/>
    </row>
    <row r="11" spans="1:18" x14ac:dyDescent="0.2">
      <c r="B11" s="2815" t="s">
        <v>1140</v>
      </c>
      <c r="C11" s="2816"/>
      <c r="D11" s="2816"/>
      <c r="E11" s="2816"/>
      <c r="F11" s="2816"/>
      <c r="G11" s="2816"/>
      <c r="H11" s="2817"/>
    </row>
    <row r="12" spans="1:18" x14ac:dyDescent="0.2">
      <c r="B12" s="831" t="s">
        <v>1141</v>
      </c>
      <c r="C12" s="823"/>
      <c r="D12" s="823"/>
      <c r="E12" s="823"/>
      <c r="F12" s="823"/>
      <c r="G12" s="823"/>
      <c r="H12" s="824"/>
    </row>
    <row r="13" spans="1:18" x14ac:dyDescent="0.2">
      <c r="B13" s="821" t="s">
        <v>1142</v>
      </c>
      <c r="C13" s="2449" t="e">
        <f ca="1">'Depreciation Tables'!$K$4</f>
        <v>#NAME?</v>
      </c>
      <c r="D13" s="147"/>
      <c r="E13" s="147"/>
      <c r="F13" s="147"/>
      <c r="G13" s="147"/>
      <c r="H13" s="796"/>
    </row>
    <row r="14" spans="1:18" x14ac:dyDescent="0.2">
      <c r="B14" s="828" t="s">
        <v>1143</v>
      </c>
      <c r="C14" s="1394"/>
      <c r="D14" s="829"/>
      <c r="E14" s="829"/>
      <c r="F14" s="829"/>
      <c r="G14" s="829"/>
      <c r="H14" s="830"/>
    </row>
    <row r="15" spans="1:18" x14ac:dyDescent="0.2">
      <c r="B15" s="821" t="s">
        <v>1144</v>
      </c>
      <c r="C15" s="2450">
        <v>213283</v>
      </c>
      <c r="D15" s="797"/>
      <c r="E15" s="147"/>
      <c r="F15" s="147"/>
      <c r="G15" s="743"/>
      <c r="H15" s="796"/>
    </row>
    <row r="16" spans="1:18" x14ac:dyDescent="0.2">
      <c r="B16" s="828" t="s">
        <v>1145</v>
      </c>
      <c r="C16" s="1394"/>
      <c r="D16" s="829"/>
      <c r="E16" s="829"/>
      <c r="F16" s="829"/>
      <c r="G16" s="829"/>
      <c r="H16" s="830"/>
    </row>
    <row r="17" spans="2:8" x14ac:dyDescent="0.2">
      <c r="B17" s="821" t="s">
        <v>1146</v>
      </c>
      <c r="C17" s="2447">
        <f>Salaries!$G$18</f>
        <v>42250</v>
      </c>
      <c r="D17" s="147"/>
      <c r="E17" s="147"/>
      <c r="F17" s="147"/>
      <c r="G17" s="147"/>
      <c r="H17" s="796"/>
    </row>
    <row r="18" spans="2:8" x14ac:dyDescent="0.2">
      <c r="B18" s="821" t="s">
        <v>1147</v>
      </c>
      <c r="C18" s="2401">
        <v>10000</v>
      </c>
      <c r="D18" s="147"/>
      <c r="E18" s="147"/>
      <c r="F18" s="147"/>
      <c r="G18" s="147"/>
      <c r="H18" s="796"/>
    </row>
    <row r="19" spans="2:8" x14ac:dyDescent="0.2">
      <c r="B19" s="821" t="s">
        <v>1148</v>
      </c>
      <c r="C19" s="2401" t="e">
        <f ca="1">Capacity!I33</f>
        <v>#NAME?</v>
      </c>
      <c r="D19" s="147"/>
      <c r="E19" s="147"/>
      <c r="F19" s="147"/>
      <c r="G19" s="147"/>
      <c r="H19" s="796"/>
    </row>
    <row r="20" spans="2:8" x14ac:dyDescent="0.2">
      <c r="B20" s="821" t="s">
        <v>1149</v>
      </c>
      <c r="C20" s="2401">
        <f>IT!C33</f>
        <v>58171.28</v>
      </c>
      <c r="D20" s="147"/>
      <c r="E20" s="147"/>
      <c r="F20" s="147"/>
      <c r="G20" s="147"/>
      <c r="H20" s="796"/>
    </row>
    <row r="21" spans="2:8" x14ac:dyDescent="0.2">
      <c r="B21" s="821" t="s">
        <v>1150</v>
      </c>
      <c r="C21" s="2401" t="e">
        <f ca="1">Salaries!$G$12</f>
        <v>#NAME?</v>
      </c>
      <c r="D21" s="147"/>
      <c r="E21" s="147"/>
      <c r="F21" s="147"/>
      <c r="G21" s="147"/>
      <c r="H21" s="796"/>
    </row>
    <row r="22" spans="2:8" ht="17" thickBot="1" x14ac:dyDescent="0.25">
      <c r="B22" s="821" t="s">
        <v>1151</v>
      </c>
      <c r="C22" s="2448">
        <f>OH!$C$12</f>
        <v>68902.383999999991</v>
      </c>
      <c r="D22" s="147"/>
      <c r="E22" s="147"/>
      <c r="F22" s="147"/>
      <c r="G22" s="147"/>
      <c r="H22" s="796"/>
    </row>
    <row r="23" spans="2:8" ht="18" thickTop="1" thickBot="1" x14ac:dyDescent="0.25">
      <c r="B23" s="800" t="s">
        <v>1152</v>
      </c>
      <c r="C23" s="676" t="e">
        <f ca="1">SUM(C17:C22)</f>
        <v>#NAME?</v>
      </c>
      <c r="D23" s="798"/>
      <c r="E23" s="798"/>
      <c r="F23" s="798"/>
      <c r="G23" s="798"/>
      <c r="H23" s="799"/>
    </row>
    <row r="24" spans="2:8" x14ac:dyDescent="0.2">
      <c r="B24" s="149"/>
      <c r="C24" s="149"/>
      <c r="D24" s="816"/>
      <c r="E24" s="816"/>
      <c r="F24" s="816"/>
      <c r="G24" s="816"/>
      <c r="H24" s="816"/>
    </row>
    <row r="25" spans="2:8" x14ac:dyDescent="0.2">
      <c r="B25" s="2815" t="s">
        <v>1153</v>
      </c>
      <c r="C25" s="2816"/>
      <c r="D25" s="2816"/>
      <c r="E25" s="2816"/>
      <c r="F25" s="2816"/>
      <c r="G25" s="2816"/>
      <c r="H25" s="2817"/>
    </row>
    <row r="26" spans="2:8" x14ac:dyDescent="0.2">
      <c r="B26" s="822" t="s">
        <v>1154</v>
      </c>
      <c r="C26" s="823"/>
      <c r="D26" s="823"/>
      <c r="E26" s="823"/>
      <c r="F26" s="823"/>
      <c r="G26" s="823"/>
      <c r="H26" s="824"/>
    </row>
    <row r="27" spans="2:8" x14ac:dyDescent="0.2">
      <c r="B27" s="821" t="s">
        <v>1155</v>
      </c>
      <c r="C27" s="2424"/>
      <c r="D27" s="2444" t="e">
        <f ca="1">'Avg.Weighted Manufacturer Price'!D4*'BASES MODEL (Base Case)'!C$37</f>
        <v>#NAME?</v>
      </c>
      <c r="E27" s="2444" t="e">
        <f ca="1">'Avg.Weighted Manufacturer Price'!D11*'BASES MODEL (Base Case)'!D37</f>
        <v>#NAME?</v>
      </c>
      <c r="F27" s="2444" t="e">
        <f ca="1">'Avg.Weighted Manufacturer Price'!D18*'BASES MODEL (Base Case)'!E$37</f>
        <v>#NAME?</v>
      </c>
      <c r="G27" s="2444" t="e">
        <f ca="1">'Avg.Weighted Manufacturer Price'!D27*'BASES MODEL (Base Case)'!F$37</f>
        <v>#NAME?</v>
      </c>
      <c r="H27" s="1472" t="e">
        <f ca="1">'Avg.Weighted Manufacturer Price'!D36*'BASES MODEL (Base Case)'!G$37</f>
        <v>#NAME?</v>
      </c>
    </row>
    <row r="28" spans="2:8" x14ac:dyDescent="0.2">
      <c r="B28" s="821" t="s">
        <v>1156</v>
      </c>
      <c r="C28" s="2416"/>
      <c r="D28" s="2445" t="e">
        <f ca="1">D29</f>
        <v>#NAME?</v>
      </c>
      <c r="E28" s="2445" t="e">
        <f t="shared" ref="E28:H28" ca="1" si="0">E29</f>
        <v>#NAME?</v>
      </c>
      <c r="F28" s="2445" t="e">
        <f t="shared" ca="1" si="0"/>
        <v>#NAME?</v>
      </c>
      <c r="G28" s="2445" t="e">
        <f t="shared" ca="1" si="0"/>
        <v>#NAME?</v>
      </c>
      <c r="H28" s="1472" t="e">
        <f t="shared" ca="1" si="0"/>
        <v>#NAME?</v>
      </c>
    </row>
    <row r="29" spans="2:8" x14ac:dyDescent="0.2">
      <c r="B29" s="821" t="s">
        <v>1157</v>
      </c>
      <c r="C29" s="2416"/>
      <c r="D29" s="2445" t="e">
        <f ca="1">'Avg.Weighted Manufacturer Price'!D6*'BASES MODEL (Base Case)'!C$37</f>
        <v>#NAME?</v>
      </c>
      <c r="E29" s="2445" t="e">
        <f ca="1">'Avg.Weighted Manufacturer Price'!D13*'BASES MODEL (Base Case)'!D37</f>
        <v>#NAME?</v>
      </c>
      <c r="F29" s="2445" t="e">
        <f ca="1">'Avg.Weighted Manufacturer Price'!D20*'BASES MODEL (Base Case)'!E$37</f>
        <v>#NAME?</v>
      </c>
      <c r="G29" s="2445" t="e">
        <f ca="1">'Avg.Weighted Manufacturer Price'!D29*'BASES MODEL (Base Case)'!F$37</f>
        <v>#NAME?</v>
      </c>
      <c r="H29" s="1472" t="e">
        <f ca="1">'Avg.Weighted Manufacturer Price'!D38*'BASES MODEL (Base Case)'!G$37</f>
        <v>#NAME?</v>
      </c>
    </row>
    <row r="30" spans="2:8" x14ac:dyDescent="0.2">
      <c r="B30" s="821" t="s">
        <v>1158</v>
      </c>
      <c r="C30" s="2416"/>
      <c r="D30" s="2445" t="e">
        <f ca="1">ACV!C10*'BASES MODEL (Base Case)'!$C$37</f>
        <v>#NAME?</v>
      </c>
      <c r="E30" s="2445" t="e">
        <f ca="1">ACV!D10*'BASES MODEL (Base Case)'!$C$37</f>
        <v>#NAME?</v>
      </c>
      <c r="F30" s="2445" t="e">
        <f ca="1">ACV!E10*'BASES MODEL (Base Case)'!$C$37</f>
        <v>#NAME?</v>
      </c>
      <c r="G30" s="2445" t="e">
        <f ca="1">'Avg.Weighted Manufacturer Price'!D33*'BASES MODEL (Base Case)'!F$37</f>
        <v>#NAME?</v>
      </c>
      <c r="H30" s="1472" t="e">
        <f ca="1">'Avg.Weighted Manufacturer Price'!D42*'BASES MODEL (Base Case)'!G$37</f>
        <v>#NAME?</v>
      </c>
    </row>
    <row r="31" spans="2:8" x14ac:dyDescent="0.2">
      <c r="B31" s="821" t="s">
        <v>1159</v>
      </c>
      <c r="C31" s="2416"/>
      <c r="D31" s="2445" t="e">
        <f ca="1">ACV!C11*'BASES MODEL (Base Case)'!$C$37</f>
        <v>#NAME?</v>
      </c>
      <c r="E31" s="2445" t="e">
        <f ca="1">ACV!D11*'BASES MODEL (Base Case)'!$C$37</f>
        <v>#NAME?</v>
      </c>
      <c r="F31" s="2445" t="e">
        <f ca="1">'Avg.Weighted Manufacturer Price'!D21*'BASES MODEL (Base Case)'!E$37</f>
        <v>#NAME?</v>
      </c>
      <c r="G31" s="2445" t="e">
        <f ca="1">'Avg.Weighted Manufacturer Price'!D30*'BASES MODEL (Base Case)'!F$37</f>
        <v>#NAME?</v>
      </c>
      <c r="H31" s="1472" t="e">
        <f ca="1">'Avg.Weighted Manufacturer Price'!D39*'BASES MODEL (Base Case)'!G$37</f>
        <v>#NAME?</v>
      </c>
    </row>
    <row r="32" spans="2:8" x14ac:dyDescent="0.2">
      <c r="B32" s="821" t="s">
        <v>1160</v>
      </c>
      <c r="C32" s="2416"/>
      <c r="D32" s="2445" t="e">
        <f ca="1">ACV!C12*'BASES MODEL (Base Case)'!$C$37</f>
        <v>#NAME?</v>
      </c>
      <c r="E32" s="2445" t="e">
        <f ca="1">ACV!D12*'BASES MODEL (Base Case)'!$C$37</f>
        <v>#NAME?</v>
      </c>
      <c r="F32" s="2445" t="e">
        <f ca="1">'Avg.Weighted Manufacturer Price'!D22*'BASES MODEL (Base Case)'!E$37</f>
        <v>#NAME?</v>
      </c>
      <c r="G32" s="2445" t="e">
        <f ca="1">'Avg.Weighted Manufacturer Price'!D31*'BASES MODEL (Base Case)'!F$37</f>
        <v>#NAME?</v>
      </c>
      <c r="H32" s="1472" t="e">
        <f ca="1">'Avg.Weighted Manufacturer Price'!D40*'BASES MODEL (Base Case)'!G$37</f>
        <v>#NAME?</v>
      </c>
    </row>
    <row r="33" spans="2:16" ht="17" thickBot="1" x14ac:dyDescent="0.25">
      <c r="B33" s="821" t="s">
        <v>1161</v>
      </c>
      <c r="C33" s="2425"/>
      <c r="D33" s="2446" t="e">
        <f ca="1">ACV!C13*'BASES MODEL (Base Case)'!$C$37</f>
        <v>#NAME?</v>
      </c>
      <c r="E33" s="2446" t="e">
        <f ca="1">ACV!D13*'BASES MODEL (Base Case)'!$C$37</f>
        <v>#NAME?</v>
      </c>
      <c r="F33" s="2446" t="e">
        <f ca="1">'Avg.Weighted Manufacturer Price'!D23*'BASES MODEL (Base Case)'!E$37</f>
        <v>#NAME?</v>
      </c>
      <c r="G33" s="2446" t="e">
        <f ca="1">'Avg.Weighted Manufacturer Price'!D32*'BASES MODEL (Base Case)'!F$37</f>
        <v>#NAME?</v>
      </c>
      <c r="H33" s="1472" t="e">
        <f ca="1">'Avg.Weighted Manufacturer Price'!D41*'BASES MODEL (Base Case)'!G$37</f>
        <v>#NAME?</v>
      </c>
    </row>
    <row r="34" spans="2:16" ht="18" thickTop="1" thickBot="1" x14ac:dyDescent="0.25">
      <c r="B34" s="812" t="s">
        <v>1162</v>
      </c>
      <c r="C34" s="798"/>
      <c r="D34" s="813" t="e">
        <f ca="1">SUM(D27:D33)</f>
        <v>#NAME?</v>
      </c>
      <c r="E34" s="813" t="e">
        <f t="shared" ref="E34:G34" ca="1" si="1">SUM(E27:E33)</f>
        <v>#NAME?</v>
      </c>
      <c r="F34" s="813" t="e">
        <f t="shared" ca="1" si="1"/>
        <v>#NAME?</v>
      </c>
      <c r="G34" s="813" t="e">
        <f t="shared" ca="1" si="1"/>
        <v>#NAME?</v>
      </c>
      <c r="H34" s="814" t="e">
        <f ca="1">SUM(H27:H33)</f>
        <v>#NAME?</v>
      </c>
    </row>
    <row r="35" spans="2:16" ht="17" thickTop="1" x14ac:dyDescent="0.2">
      <c r="B35" s="1074" t="s">
        <v>1163</v>
      </c>
      <c r="C35" s="826"/>
      <c r="D35" s="826"/>
      <c r="E35" s="826"/>
      <c r="F35" s="826"/>
      <c r="G35" s="826"/>
      <c r="H35" s="827"/>
    </row>
    <row r="36" spans="2:16" x14ac:dyDescent="0.2">
      <c r="B36" s="821" t="s">
        <v>1164</v>
      </c>
      <c r="C36" s="2440"/>
      <c r="D36" s="2436">
        <f>'Avg.Weighted Manufacturer Price'!E4</f>
        <v>57.15</v>
      </c>
      <c r="E36" s="2436">
        <f>'Avg.Weighted Manufacturer Price'!E11</f>
        <v>57.15</v>
      </c>
      <c r="F36" s="2436">
        <f>'Avg.Weighted Manufacturer Price'!E18</f>
        <v>57.15</v>
      </c>
      <c r="G36" s="2436">
        <f>'Avg.Weighted Manufacturer Price'!E27</f>
        <v>57.15</v>
      </c>
      <c r="H36" s="1473">
        <f>'Avg.Weighted Manufacturer Price'!E36</f>
        <v>57.15</v>
      </c>
    </row>
    <row r="37" spans="2:16" x14ac:dyDescent="0.2">
      <c r="B37" s="821" t="s">
        <v>1165</v>
      </c>
      <c r="C37" s="2441"/>
      <c r="D37" s="2437">
        <f>'Avg.Weighted Manufacturer Price'!E6</f>
        <v>82.550000000000011</v>
      </c>
      <c r="E37" s="2437">
        <f>'Avg.Weighted Manufacturer Price'!E13</f>
        <v>82.550000000000011</v>
      </c>
      <c r="F37" s="2437">
        <f>'Avg.Weighted Manufacturer Price'!E20</f>
        <v>82.550000000000011</v>
      </c>
      <c r="G37" s="2437">
        <f>'Avg.Weighted Manufacturer Price'!E29</f>
        <v>82.550000000000011</v>
      </c>
      <c r="H37" s="1473">
        <f>'Avg.Weighted Manufacturer Price'!E38</f>
        <v>82.550000000000011</v>
      </c>
      <c r="J37" s="2619" t="s">
        <v>1517</v>
      </c>
      <c r="K37" s="2619" t="s">
        <v>1518</v>
      </c>
      <c r="L37" s="2619"/>
    </row>
    <row r="38" spans="2:16" x14ac:dyDescent="0.2">
      <c r="B38" s="821" t="s">
        <v>1166</v>
      </c>
      <c r="C38" s="2442"/>
      <c r="D38" s="2438" t="s">
        <v>1167</v>
      </c>
      <c r="E38" s="2438" t="s">
        <v>1167</v>
      </c>
      <c r="F38" s="2438" t="s">
        <v>1167</v>
      </c>
      <c r="G38" s="2438">
        <f>'Avg.Weighted Manufacturer Price'!E33</f>
        <v>64.959999999999994</v>
      </c>
      <c r="H38" s="1473">
        <f>'Avg.Weighted Manufacturer Price'!E42</f>
        <v>64.959999999999994</v>
      </c>
      <c r="J38" s="2619">
        <v>26.1474178221473</v>
      </c>
      <c r="K38" s="2619">
        <v>1.8303192475503101</v>
      </c>
      <c r="L38" s="2619"/>
    </row>
    <row r="39" spans="2:16" x14ac:dyDescent="0.2">
      <c r="B39" s="821" t="s">
        <v>1168</v>
      </c>
      <c r="C39" s="2442"/>
      <c r="D39" s="2438" t="s">
        <v>1167</v>
      </c>
      <c r="E39" s="2438" t="s">
        <v>1167</v>
      </c>
      <c r="F39" s="2438">
        <f>'Avg.Weighted Manufacturer Price'!E21</f>
        <v>52.2</v>
      </c>
      <c r="G39" s="2438">
        <f>'Avg.Weighted Manufacturer Price'!E30</f>
        <v>52.2</v>
      </c>
      <c r="H39" s="1473">
        <f>'Avg.Weighted Manufacturer Price'!E39</f>
        <v>52.2</v>
      </c>
      <c r="J39" s="2619" t="s">
        <v>1504</v>
      </c>
      <c r="K39" s="2619" t="s">
        <v>1502</v>
      </c>
      <c r="L39" s="2619" t="s">
        <v>1503</v>
      </c>
    </row>
    <row r="40" spans="2:16" x14ac:dyDescent="0.2">
      <c r="B40" s="821" t="s">
        <v>1169</v>
      </c>
      <c r="C40" s="2442"/>
      <c r="D40" s="2438" t="s">
        <v>1167</v>
      </c>
      <c r="E40" s="2438" t="s">
        <v>1167</v>
      </c>
      <c r="F40" s="2438">
        <f>'Avg.Weighted Manufacturer Price'!E22</f>
        <v>52.2</v>
      </c>
      <c r="G40" s="2438">
        <f>'Avg.Weighted Manufacturer Price'!E31</f>
        <v>52.2</v>
      </c>
      <c r="H40" s="1473">
        <f>'Avg.Weighted Manufacturer Price'!E40</f>
        <v>52.2</v>
      </c>
      <c r="J40" s="2619">
        <v>7.92</v>
      </c>
      <c r="K40" s="2619">
        <v>8.7401078506898209</v>
      </c>
      <c r="L40" s="2619">
        <v>11.8</v>
      </c>
    </row>
    <row r="41" spans="2:16" ht="17" thickBot="1" x14ac:dyDescent="0.25">
      <c r="B41" s="821" t="s">
        <v>1170</v>
      </c>
      <c r="C41" s="2443"/>
      <c r="D41" s="2439" t="s">
        <v>1167</v>
      </c>
      <c r="E41" s="2439" t="s">
        <v>1167</v>
      </c>
      <c r="F41" s="2439">
        <f>'Avg.Weighted Manufacturer Price'!E23</f>
        <v>54.734999999999999</v>
      </c>
      <c r="G41" s="2439">
        <f>'Avg.Weighted Manufacturer Price'!E32</f>
        <v>54.734999999999999</v>
      </c>
      <c r="H41" s="1473">
        <f>'Avg.Weighted Manufacturer Price'!E41</f>
        <v>54.734999999999999</v>
      </c>
      <c r="J41" s="2">
        <v>1.9655394885156048E-3</v>
      </c>
      <c r="K41" s="2">
        <v>-3.8013736508649684E-2</v>
      </c>
      <c r="L41" s="2">
        <v>-6.2186559232361487E-2</v>
      </c>
      <c r="M41" s="2">
        <v>2.3935407298342048E-2</v>
      </c>
    </row>
    <row r="42" spans="2:16" ht="34" thickTop="1" thickBot="1" x14ac:dyDescent="0.25">
      <c r="B42" s="1173" t="s">
        <v>1171</v>
      </c>
      <c r="C42" s="798"/>
      <c r="D42" s="818">
        <f>'Avg.Weighted Manufacturer Price'!F9</f>
        <v>80.561016949152545</v>
      </c>
      <c r="E42" s="818">
        <f>'Avg.Weighted Manufacturer Price'!F16</f>
        <v>78.128888213851766</v>
      </c>
      <c r="F42" s="818">
        <f>'Avg.Weighted Manufacturer Price'!F25</f>
        <v>77.474995001098407</v>
      </c>
      <c r="G42" s="818">
        <f>'Avg.Weighted Manufacturer Price'!F34</f>
        <v>73.278874137354507</v>
      </c>
      <c r="H42" s="819">
        <f>'Avg.Weighted Manufacturer Price'!F43</f>
        <v>72.87782346630911</v>
      </c>
      <c r="I42" s="2">
        <v>8.7401078506898244</v>
      </c>
      <c r="J42" s="2564" t="e">
        <f ca="1">(E45-D45)/D45</f>
        <v>#NAME?</v>
      </c>
      <c r="K42" s="2564" t="e">
        <f t="shared" ref="K42:M42" ca="1" si="2">(F45-E45)/E45</f>
        <v>#NAME?</v>
      </c>
      <c r="L42" s="2564" t="e">
        <f t="shared" ca="1" si="2"/>
        <v>#NAME?</v>
      </c>
      <c r="M42" s="2564" t="e">
        <f t="shared" ca="1" si="2"/>
        <v>#NAME?</v>
      </c>
      <c r="N42" s="820"/>
      <c r="O42" s="149"/>
    </row>
    <row r="43" spans="2:16" ht="18" thickTop="1" thickBot="1" x14ac:dyDescent="0.25">
      <c r="B43" s="1074" t="s">
        <v>1172</v>
      </c>
      <c r="C43" s="826"/>
      <c r="D43" s="826"/>
      <c r="E43" s="826"/>
      <c r="F43" s="826"/>
      <c r="G43" s="826"/>
      <c r="H43" s="827"/>
      <c r="K43" s="1191"/>
      <c r="L43" s="1261" t="s">
        <v>71</v>
      </c>
      <c r="M43" s="1261" t="s">
        <v>72</v>
      </c>
      <c r="N43" s="1261" t="s">
        <v>73</v>
      </c>
      <c r="O43" s="1261" t="s">
        <v>74</v>
      </c>
      <c r="P43" s="1262" t="s">
        <v>75</v>
      </c>
    </row>
    <row r="44" spans="2:16" ht="17" thickTop="1" x14ac:dyDescent="0.2">
      <c r="B44" s="821" t="s">
        <v>1173</v>
      </c>
      <c r="C44" s="2424"/>
      <c r="D44" s="2620" t="e">
        <f ca="1">RiskNormal(J38,K38)</f>
        <v>#NAME?</v>
      </c>
      <c r="E44" s="2620" t="e">
        <f ca="1">D44*1</f>
        <v>#NAME?</v>
      </c>
      <c r="F44" s="2620" t="e">
        <f t="shared" ref="F44:H44" ca="1" si="3">E44*1</f>
        <v>#NAME?</v>
      </c>
      <c r="G44" s="2620" t="e">
        <f t="shared" ca="1" si="3"/>
        <v>#NAME?</v>
      </c>
      <c r="H44" s="2620" t="e">
        <f t="shared" ca="1" si="3"/>
        <v>#NAME?</v>
      </c>
      <c r="K44" s="1194" t="s">
        <v>1174</v>
      </c>
      <c r="L44" s="2407" t="e">
        <f ca="1">D44*D34/D49</f>
        <v>#NAME?</v>
      </c>
      <c r="M44" s="2411" t="e">
        <f t="shared" ref="M44:P44" ca="1" si="4">E44*E34/E49</f>
        <v>#NAME?</v>
      </c>
      <c r="N44" s="2411" t="e">
        <f t="shared" ca="1" si="4"/>
        <v>#NAME?</v>
      </c>
      <c r="O44" s="2411" t="e">
        <f t="shared" ca="1" si="4"/>
        <v>#NAME?</v>
      </c>
      <c r="P44" s="1190" t="e">
        <f t="shared" ca="1" si="4"/>
        <v>#NAME?</v>
      </c>
    </row>
    <row r="45" spans="2:16" ht="17" thickBot="1" x14ac:dyDescent="0.25">
      <c r="B45" s="1474" t="s">
        <v>1175</v>
      </c>
      <c r="C45" s="2425"/>
      <c r="D45" s="2621" t="e">
        <f ca="1">RiskTriang(J40,K40,L40)</f>
        <v>#NAME?</v>
      </c>
      <c r="E45" s="2621" t="e">
        <f ca="1">D45*(1+J41)</f>
        <v>#NAME?</v>
      </c>
      <c r="F45" s="2621" t="e">
        <f t="shared" ref="F45:H45" ca="1" si="5">E45*(1+K41)</f>
        <v>#NAME?</v>
      </c>
      <c r="G45" s="2621" t="e">
        <f t="shared" ca="1" si="5"/>
        <v>#NAME?</v>
      </c>
      <c r="H45" s="2621" t="e">
        <f t="shared" ca="1" si="5"/>
        <v>#NAME?</v>
      </c>
      <c r="K45" s="1194" t="s">
        <v>1176</v>
      </c>
      <c r="L45" s="2408" t="e">
        <f ca="1">D45*D34/D49</f>
        <v>#NAME?</v>
      </c>
      <c r="M45" s="2412" t="e">
        <f t="shared" ref="M45:P45" ca="1" si="6">E45*E34/E49</f>
        <v>#NAME?</v>
      </c>
      <c r="N45" s="2412" t="e">
        <f t="shared" ca="1" si="6"/>
        <v>#NAME?</v>
      </c>
      <c r="O45" s="2412" t="e">
        <f t="shared" ca="1" si="6"/>
        <v>#NAME?</v>
      </c>
      <c r="P45" s="1188" t="e">
        <f t="shared" ca="1" si="6"/>
        <v>#NAME?</v>
      </c>
    </row>
    <row r="46" spans="2:16" ht="18" thickTop="1" thickBot="1" x14ac:dyDescent="0.25">
      <c r="B46" s="821" t="s">
        <v>1177</v>
      </c>
      <c r="C46" s="2416"/>
      <c r="D46" s="2426" t="e">
        <f ca="1">SUM(D44:D45)</f>
        <v>#NAME?</v>
      </c>
      <c r="E46" s="2426" t="e">
        <f t="shared" ref="E46:H46" ca="1" si="7">SUM(E44:E45)</f>
        <v>#NAME?</v>
      </c>
      <c r="F46" s="1477" t="e">
        <f t="shared" ca="1" si="7"/>
        <v>#NAME?</v>
      </c>
      <c r="G46" s="1477" t="e">
        <f t="shared" ca="1" si="7"/>
        <v>#NAME?</v>
      </c>
      <c r="H46" s="1478" t="e">
        <f t="shared" ca="1" si="7"/>
        <v>#NAME?</v>
      </c>
      <c r="K46" s="1194" t="s">
        <v>1178</v>
      </c>
      <c r="L46" s="2410" t="e">
        <f ca="1">D48/D49</f>
        <v>#NAME?</v>
      </c>
      <c r="M46" s="2414" t="e">
        <f t="shared" ref="M46:P46" ca="1" si="8">E48/E49</f>
        <v>#NAME?</v>
      </c>
      <c r="N46" s="2414" t="e">
        <f t="shared" ca="1" si="8"/>
        <v>#NAME?</v>
      </c>
      <c r="O46" s="2414" t="e">
        <f t="shared" ca="1" si="8"/>
        <v>#NAME?</v>
      </c>
      <c r="P46" s="1188" t="e">
        <f t="shared" ca="1" si="8"/>
        <v>#NAME?</v>
      </c>
    </row>
    <row r="47" spans="2:16" ht="18" thickTop="1" thickBot="1" x14ac:dyDescent="0.25">
      <c r="B47" s="821" t="s">
        <v>1179</v>
      </c>
      <c r="C47" s="2416"/>
      <c r="D47" s="2427" t="e">
        <f ca="1">D46*'BASES MODEL (Base Case)'!C37</f>
        <v>#NAME?</v>
      </c>
      <c r="E47" s="2427" t="e">
        <f ca="1">E46*'BASES MODEL (Base Case)'!D37</f>
        <v>#NAME?</v>
      </c>
      <c r="F47" s="691" t="e">
        <f ca="1">F46*'BASES MODEL (Base Case)'!E37</f>
        <v>#NAME?</v>
      </c>
      <c r="G47" s="691" t="e">
        <f ca="1">G46*'BASES MODEL (Base Case)'!F37</f>
        <v>#NAME?</v>
      </c>
      <c r="H47" s="1104" t="e">
        <f ca="1">H46*'BASES MODEL (Base Case)'!G37</f>
        <v>#NAME?</v>
      </c>
      <c r="K47" s="817"/>
      <c r="L47" s="1192" t="e">
        <f ca="1">IF(SUM(L44:L46)=1,"OK","CHECK")</f>
        <v>#NAME?</v>
      </c>
      <c r="M47" s="1192" t="e">
        <f t="shared" ref="M47:P47" ca="1" si="9">IF(SUM(M44:M46)=1,"OK","CHECK")</f>
        <v>#NAME?</v>
      </c>
      <c r="N47" s="1192" t="e">
        <f ca="1">IF(SUM(N44:N46)=1,"OK","OK")</f>
        <v>#NAME?</v>
      </c>
      <c r="O47" s="1192" t="e">
        <f t="shared" ca="1" si="9"/>
        <v>#NAME?</v>
      </c>
      <c r="P47" s="1193" t="e">
        <f t="shared" ca="1" si="9"/>
        <v>#NAME?</v>
      </c>
    </row>
    <row r="48" spans="2:16" ht="18" thickTop="1" thickBot="1" x14ac:dyDescent="0.25">
      <c r="B48" s="821" t="s">
        <v>1180</v>
      </c>
      <c r="C48" s="2416"/>
      <c r="D48" s="2405" t="e">
        <f ca="1">OH!$D$12</f>
        <v>#NAME?</v>
      </c>
      <c r="E48" s="2405" t="e">
        <f ca="1">OH!$E$12</f>
        <v>#NAME?</v>
      </c>
      <c r="F48" s="1479" t="e">
        <f ca="1">OH!$F$12</f>
        <v>#NAME?</v>
      </c>
      <c r="G48" s="1479" t="e">
        <f ca="1">OH!$G$12</f>
        <v>#NAME?</v>
      </c>
      <c r="H48" s="1480" t="e">
        <f ca="1">OH!$H$12</f>
        <v>#NAME?</v>
      </c>
      <c r="N48" s="1186"/>
    </row>
    <row r="49" spans="2:16" ht="17" thickBot="1" x14ac:dyDescent="0.25">
      <c r="B49" s="2432" t="s">
        <v>1181</v>
      </c>
      <c r="C49" s="2433"/>
      <c r="D49" s="2434" t="e">
        <f ca="1">D47+D48</f>
        <v>#NAME?</v>
      </c>
      <c r="E49" s="2434" t="e">
        <f t="shared" ref="E49:H49" ca="1" si="10">E47+E48</f>
        <v>#NAME?</v>
      </c>
      <c r="F49" s="2434" t="e">
        <f t="shared" ca="1" si="10"/>
        <v>#NAME?</v>
      </c>
      <c r="G49" s="2434" t="e">
        <f t="shared" ca="1" si="10"/>
        <v>#NAME?</v>
      </c>
      <c r="H49" s="2435" t="e">
        <f t="shared" ca="1" si="10"/>
        <v>#NAME?</v>
      </c>
    </row>
    <row r="50" spans="2:16" ht="17" thickBot="1" x14ac:dyDescent="0.25">
      <c r="B50" s="2430" t="s">
        <v>313</v>
      </c>
      <c r="C50" s="826"/>
      <c r="D50" s="2431" t="e">
        <f ca="1">D49/D34</f>
        <v>#NAME?</v>
      </c>
      <c r="E50" s="2431" t="e">
        <f t="shared" ref="E50:H50" ca="1" si="11">E49/E34</f>
        <v>#NAME?</v>
      </c>
      <c r="F50" s="2431" t="e">
        <f t="shared" ca="1" si="11"/>
        <v>#NAME?</v>
      </c>
      <c r="G50" s="2431" t="e">
        <f t="shared" ca="1" si="11"/>
        <v>#NAME?</v>
      </c>
      <c r="H50" s="2431" t="e">
        <f t="shared" ca="1" si="11"/>
        <v>#NAME?</v>
      </c>
    </row>
    <row r="51" spans="2:16" ht="18" thickTop="1" thickBot="1" x14ac:dyDescent="0.25">
      <c r="B51" s="825" t="s">
        <v>1182</v>
      </c>
      <c r="C51" s="826"/>
      <c r="D51" s="826"/>
      <c r="E51" s="826"/>
      <c r="F51" s="826"/>
      <c r="G51" s="826"/>
      <c r="H51" s="827"/>
      <c r="K51" s="1263" t="s">
        <v>1183</v>
      </c>
      <c r="L51" s="1261" t="s">
        <v>71</v>
      </c>
      <c r="M51" s="1261" t="s">
        <v>72</v>
      </c>
      <c r="N51" s="1261" t="s">
        <v>73</v>
      </c>
      <c r="O51" s="1261" t="s">
        <v>74</v>
      </c>
      <c r="P51" s="1262" t="s">
        <v>75</v>
      </c>
    </row>
    <row r="52" spans="2:16" ht="17" thickTop="1" x14ac:dyDescent="0.2">
      <c r="B52" s="821" t="s">
        <v>1184</v>
      </c>
      <c r="C52" s="2415" t="e">
        <f ca="1">Office!C17</f>
        <v>#NAME?</v>
      </c>
      <c r="D52" s="2420" t="e">
        <f ca="1">Office!C35</f>
        <v>#NAME?</v>
      </c>
      <c r="E52" s="2420" t="e">
        <f ca="1">Office!C54</f>
        <v>#NAME?</v>
      </c>
      <c r="F52" s="2420" t="e">
        <f ca="1">Office!C73</f>
        <v>#NAME?</v>
      </c>
      <c r="G52" s="2420" t="e">
        <f ca="1">Office!C92</f>
        <v>#NAME?</v>
      </c>
      <c r="H52" s="1480" t="e">
        <f ca="1">Office!C111</f>
        <v>#NAME?</v>
      </c>
      <c r="K52" s="1187" t="s">
        <v>1185</v>
      </c>
      <c r="L52" s="2407" t="e">
        <f ca="1">D52/D59</f>
        <v>#NAME?</v>
      </c>
      <c r="M52" s="2411" t="e">
        <f t="shared" ref="M52:P52" ca="1" si="12">E52/E59</f>
        <v>#NAME?</v>
      </c>
      <c r="N52" s="2411" t="e">
        <f t="shared" ca="1" si="12"/>
        <v>#NAME?</v>
      </c>
      <c r="O52" s="2411" t="e">
        <f t="shared" ca="1" si="12"/>
        <v>#NAME?</v>
      </c>
      <c r="P52" s="1190" t="e">
        <f t="shared" ca="1" si="12"/>
        <v>#NAME?</v>
      </c>
    </row>
    <row r="53" spans="2:16" x14ac:dyDescent="0.2">
      <c r="B53" s="821" t="s">
        <v>1186</v>
      </c>
      <c r="C53" s="2416"/>
      <c r="D53" s="2421">
        <v>0</v>
      </c>
      <c r="E53" s="2421">
        <v>0</v>
      </c>
      <c r="F53" s="2421">
        <v>0</v>
      </c>
      <c r="G53" s="2421">
        <v>0</v>
      </c>
      <c r="H53" s="524">
        <v>0</v>
      </c>
      <c r="K53" s="1187" t="s">
        <v>1187</v>
      </c>
      <c r="L53" s="2408" t="e">
        <f ca="1">D53/D59</f>
        <v>#NAME?</v>
      </c>
      <c r="M53" s="2412" t="e">
        <f t="shared" ref="M53:P53" ca="1" si="13">E53/E59</f>
        <v>#NAME?</v>
      </c>
      <c r="N53" s="2412" t="e">
        <f t="shared" ca="1" si="13"/>
        <v>#NAME?</v>
      </c>
      <c r="O53" s="2412" t="e">
        <f t="shared" ca="1" si="13"/>
        <v>#NAME?</v>
      </c>
      <c r="P53" s="1188" t="e">
        <f t="shared" ca="1" si="13"/>
        <v>#NAME?</v>
      </c>
    </row>
    <row r="54" spans="2:16" x14ac:dyDescent="0.2">
      <c r="B54" s="821" t="s">
        <v>1188</v>
      </c>
      <c r="C54" s="2417">
        <f>Salaries!$G$26</f>
        <v>223003.25</v>
      </c>
      <c r="D54" s="2405" t="e">
        <f ca="1">Salaries!$G$54</f>
        <v>#NAME?</v>
      </c>
      <c r="E54" s="2405" t="e">
        <f ca="1">Salaries!$G$82</f>
        <v>#NAME?</v>
      </c>
      <c r="F54" s="2405" t="e">
        <f ca="1">Salaries!$G$110</f>
        <v>#NAME?</v>
      </c>
      <c r="G54" s="2405" t="e">
        <f ca="1">Salaries!$G$138</f>
        <v>#NAME?</v>
      </c>
      <c r="H54" s="1480" t="e">
        <f ca="1">Salaries!$G$166</f>
        <v>#NAME?</v>
      </c>
      <c r="K54" s="1187" t="s">
        <v>1189</v>
      </c>
      <c r="L54" s="2408" t="e">
        <f ca="1">D54/D59</f>
        <v>#NAME?</v>
      </c>
      <c r="M54" s="2412" t="e">
        <f t="shared" ref="M54:P54" ca="1" si="14">E54/E59</f>
        <v>#NAME?</v>
      </c>
      <c r="N54" s="2412" t="e">
        <f t="shared" ca="1" si="14"/>
        <v>#NAME?</v>
      </c>
      <c r="O54" s="2412" t="e">
        <f t="shared" ca="1" si="14"/>
        <v>#NAME?</v>
      </c>
      <c r="P54" s="1188" t="e">
        <f t="shared" ca="1" si="14"/>
        <v>#NAME?</v>
      </c>
    </row>
    <row r="55" spans="2:16" ht="32" x14ac:dyDescent="0.2">
      <c r="B55" s="1105" t="s">
        <v>1190</v>
      </c>
      <c r="C55" s="2418"/>
      <c r="D55" s="2422">
        <f>'IMC Schedules'!$O$45</f>
        <v>173323.69999999998</v>
      </c>
      <c r="E55" s="2422">
        <f>'IMC Schedules'!$AI$46</f>
        <v>173323.69999999998</v>
      </c>
      <c r="F55" s="2422">
        <f>'IMC Schedules'!$O$97</f>
        <v>383229.94999999995</v>
      </c>
      <c r="G55" s="2422">
        <f>'IMC Schedules'!$AI$97</f>
        <v>426729.94999999995</v>
      </c>
      <c r="H55" s="1481">
        <f>'IMC Schedules'!$O$148</f>
        <v>426729.94999999995</v>
      </c>
      <c r="K55" s="1187" t="s">
        <v>1191</v>
      </c>
      <c r="L55" s="2409" t="e">
        <f ca="1">D55/D59</f>
        <v>#NAME?</v>
      </c>
      <c r="M55" s="2413" t="e">
        <f t="shared" ref="M55:P55" ca="1" si="15">E55/E59</f>
        <v>#NAME?</v>
      </c>
      <c r="N55" s="2413" t="e">
        <f t="shared" ca="1" si="15"/>
        <v>#NAME?</v>
      </c>
      <c r="O55" s="2413" t="e">
        <f t="shared" ca="1" si="15"/>
        <v>#NAME?</v>
      </c>
      <c r="P55" s="1195" t="e">
        <f t="shared" ca="1" si="15"/>
        <v>#NAME?</v>
      </c>
    </row>
    <row r="56" spans="2:16" ht="32" x14ac:dyDescent="0.2">
      <c r="B56" s="1105" t="s">
        <v>1192</v>
      </c>
      <c r="C56" s="2418"/>
      <c r="D56" s="2405">
        <f>Salaries!G49</f>
        <v>0</v>
      </c>
      <c r="E56" s="2405">
        <f>Salaries!G77</f>
        <v>0</v>
      </c>
      <c r="F56" s="2405" t="e">
        <f ca="1">Salaries!G105</f>
        <v>#NAME?</v>
      </c>
      <c r="G56" s="2405" t="e">
        <f ca="1">Salaries!G133</f>
        <v>#NAME?</v>
      </c>
      <c r="H56" s="1480" t="e">
        <f ca="1">Salaries!G161</f>
        <v>#NAME?</v>
      </c>
      <c r="K56" s="1187" t="s">
        <v>1193</v>
      </c>
      <c r="L56" s="2408" t="e">
        <f ca="1">D56/D59</f>
        <v>#NAME?</v>
      </c>
      <c r="M56" s="2412" t="e">
        <f t="shared" ref="M56:P56" ca="1" si="16">E56/E59</f>
        <v>#NAME?</v>
      </c>
      <c r="N56" s="2412" t="e">
        <f t="shared" ca="1" si="16"/>
        <v>#NAME?</v>
      </c>
      <c r="O56" s="2412" t="e">
        <f t="shared" ca="1" si="16"/>
        <v>#NAME?</v>
      </c>
      <c r="P56" s="1188" t="e">
        <f t="shared" ca="1" si="16"/>
        <v>#NAME?</v>
      </c>
    </row>
    <row r="57" spans="2:16" ht="32" x14ac:dyDescent="0.2">
      <c r="B57" s="1105" t="s">
        <v>1194</v>
      </c>
      <c r="C57" s="2418"/>
      <c r="D57" s="2405" t="e">
        <f ca="1">Salaries!G48</f>
        <v>#NAME?</v>
      </c>
      <c r="E57" s="2405" t="e">
        <f ca="1">Salaries!G76</f>
        <v>#NAME?</v>
      </c>
      <c r="F57" s="2405" t="e">
        <f ca="1">Salaries!G104</f>
        <v>#NAME?</v>
      </c>
      <c r="G57" s="2405" t="e">
        <f ca="1">Salaries!G132</f>
        <v>#NAME?</v>
      </c>
      <c r="H57" s="1480" t="e">
        <f ca="1">Salaries!G160</f>
        <v>#NAME?</v>
      </c>
      <c r="K57" s="1187" t="s">
        <v>1195</v>
      </c>
      <c r="L57" s="2408" t="e">
        <f ca="1">D57/D59</f>
        <v>#NAME?</v>
      </c>
      <c r="M57" s="2412" t="e">
        <f t="shared" ref="M57:P57" ca="1" si="17">E57/E59</f>
        <v>#NAME?</v>
      </c>
      <c r="N57" s="2412" t="e">
        <f t="shared" ca="1" si="17"/>
        <v>#NAME?</v>
      </c>
      <c r="O57" s="2412" t="e">
        <f t="shared" ca="1" si="17"/>
        <v>#NAME?</v>
      </c>
      <c r="P57" s="1188" t="e">
        <f t="shared" ca="1" si="17"/>
        <v>#NAME?</v>
      </c>
    </row>
    <row r="58" spans="2:16" ht="17" thickBot="1" x14ac:dyDescent="0.25">
      <c r="B58" s="1105" t="s">
        <v>1196</v>
      </c>
      <c r="C58" s="2419"/>
      <c r="D58" s="2423" t="e">
        <f ca="1">IT!C66</f>
        <v>#NAME?</v>
      </c>
      <c r="E58" s="2423" t="e">
        <f ca="1">IT!C99</f>
        <v>#NAME?</v>
      </c>
      <c r="F58" s="2423" t="e">
        <f ca="1">IT!C132</f>
        <v>#NAME?</v>
      </c>
      <c r="G58" s="2423" t="e">
        <f ca="1">IT!C165</f>
        <v>#NAME?</v>
      </c>
      <c r="H58" s="1480" t="e">
        <f ca="1">IT!C198</f>
        <v>#NAME?</v>
      </c>
      <c r="K58" s="1187" t="s">
        <v>1196</v>
      </c>
      <c r="L58" s="2410" t="e">
        <f ca="1">D58/D59</f>
        <v>#NAME?</v>
      </c>
      <c r="M58" s="2414" t="e">
        <f t="shared" ref="M58:P58" ca="1" si="18">E58/E59</f>
        <v>#NAME?</v>
      </c>
      <c r="N58" s="2414" t="e">
        <f t="shared" ca="1" si="18"/>
        <v>#NAME?</v>
      </c>
      <c r="O58" s="2414" t="e">
        <f t="shared" ca="1" si="18"/>
        <v>#NAME?</v>
      </c>
      <c r="P58" s="1189" t="e">
        <f t="shared" ca="1" si="18"/>
        <v>#NAME?</v>
      </c>
    </row>
    <row r="59" spans="2:16" ht="18" thickTop="1" thickBot="1" x14ac:dyDescent="0.25">
      <c r="B59" s="812" t="s">
        <v>1197</v>
      </c>
      <c r="C59" s="2428" t="e">
        <f ca="1">SUM(C52:C58)</f>
        <v>#NAME?</v>
      </c>
      <c r="D59" s="2429" t="e">
        <f t="shared" ref="D59:H59" ca="1" si="19">SUM(D52:D58)</f>
        <v>#NAME?</v>
      </c>
      <c r="E59" s="2429" t="e">
        <f t="shared" ca="1" si="19"/>
        <v>#NAME?</v>
      </c>
      <c r="F59" s="2429" t="e">
        <f t="shared" ca="1" si="19"/>
        <v>#NAME?</v>
      </c>
      <c r="G59" s="2429" t="e">
        <f t="shared" ca="1" si="19"/>
        <v>#NAME?</v>
      </c>
      <c r="H59" s="1106" t="e">
        <f t="shared" ca="1" si="19"/>
        <v>#NAME?</v>
      </c>
      <c r="K59" s="817"/>
      <c r="L59" s="1196" t="e">
        <f ca="1">IF(SUM(L52:L58)=1,"OK","CHECK")</f>
        <v>#NAME?</v>
      </c>
      <c r="M59" s="1196" t="e">
        <f t="shared" ref="M59:P59" ca="1" si="20">IF(SUM(M52:M58)=1,"OK","CHECK")</f>
        <v>#NAME?</v>
      </c>
      <c r="N59" s="1196" t="e">
        <f t="shared" ca="1" si="20"/>
        <v>#NAME?</v>
      </c>
      <c r="O59" s="1196" t="e">
        <f t="shared" ca="1" si="20"/>
        <v>#NAME?</v>
      </c>
      <c r="P59" s="1197" t="e">
        <f t="shared" ca="1" si="20"/>
        <v>#NAME?</v>
      </c>
    </row>
    <row r="60" spans="2:16" x14ac:dyDescent="0.2">
      <c r="B60" s="816"/>
      <c r="C60" s="816"/>
      <c r="D60" s="816"/>
      <c r="E60" s="816"/>
      <c r="F60" s="816"/>
      <c r="G60" s="816"/>
      <c r="H60" s="816"/>
    </row>
    <row r="61" spans="2:16" ht="16.25" customHeight="1" x14ac:dyDescent="0.2">
      <c r="B61" s="2818" t="s">
        <v>1198</v>
      </c>
      <c r="C61" s="2819"/>
      <c r="D61" s="2819"/>
      <c r="E61" s="2819"/>
      <c r="F61" s="2819"/>
      <c r="G61" s="2819"/>
      <c r="H61" s="2820"/>
    </row>
    <row r="62" spans="2:16" x14ac:dyDescent="0.2">
      <c r="B62" s="700" t="s">
        <v>1199</v>
      </c>
      <c r="C62" s="2399" t="s">
        <v>1167</v>
      </c>
      <c r="D62" s="2403" t="e">
        <f ca="1">'Balance Sheet'!D37</f>
        <v>#NAME?</v>
      </c>
      <c r="E62" s="2403" t="e">
        <f ca="1">'Balance Sheet'!E37</f>
        <v>#NAME?</v>
      </c>
      <c r="F62" s="2403" t="e">
        <f ca="1">'Balance Sheet'!F37</f>
        <v>#NAME?</v>
      </c>
      <c r="G62" s="2403" t="e">
        <f ca="1">'Balance Sheet'!G37</f>
        <v>#NAME?</v>
      </c>
      <c r="H62" s="1483" t="e">
        <f ca="1">'Balance Sheet'!H37</f>
        <v>#NAME?</v>
      </c>
    </row>
    <row r="63" spans="2:16" x14ac:dyDescent="0.2">
      <c r="B63" s="700" t="s">
        <v>1200</v>
      </c>
      <c r="C63" s="2400" t="s">
        <v>1167</v>
      </c>
      <c r="D63" s="2404" t="e">
        <f ca="1">'Balance Sheet'!D38</f>
        <v>#NAME?</v>
      </c>
      <c r="E63" s="2404" t="e">
        <f ca="1">'Balance Sheet'!E38</f>
        <v>#NAME?</v>
      </c>
      <c r="F63" s="2404" t="e">
        <f ca="1">'Balance Sheet'!F38</f>
        <v>#NAME?</v>
      </c>
      <c r="G63" s="2404" t="e">
        <f ca="1">'Balance Sheet'!G38</f>
        <v>#NAME?</v>
      </c>
      <c r="H63" s="1483" t="e">
        <f ca="1">'Balance Sheet'!H38</f>
        <v>#NAME?</v>
      </c>
    </row>
    <row r="64" spans="2:16" x14ac:dyDescent="0.2">
      <c r="B64" s="700" t="s">
        <v>1201</v>
      </c>
      <c r="C64" s="2401" t="e">
        <f ca="1">1/6*D64</f>
        <v>#NAME?</v>
      </c>
      <c r="D64" s="2405" t="e">
        <f ca="1">Inventory!$I$34+Inventory!$I$35</f>
        <v>#NAME?</v>
      </c>
      <c r="E64" s="2405" t="e">
        <f ca="1">Inventory!$I$68+Inventory!$I$69</f>
        <v>#NAME?</v>
      </c>
      <c r="F64" s="2405" t="e">
        <f ca="1">Inventory!$I$102+Inventory!$I$103</f>
        <v>#NAME?</v>
      </c>
      <c r="G64" s="2405" t="e">
        <f ca="1">Inventory!$I$136+Inventory!$I$137</f>
        <v>#NAME?</v>
      </c>
      <c r="H64" s="1480" t="e">
        <f ca="1">Inventory!$I$170+Inventory!$I$171</f>
        <v>#NAME?</v>
      </c>
    </row>
    <row r="65" spans="2:8" x14ac:dyDescent="0.2">
      <c r="B65" s="701" t="s">
        <v>1202</v>
      </c>
      <c r="C65" s="2402" t="e">
        <f ca="1">1/6*D65</f>
        <v>#NAME?</v>
      </c>
      <c r="D65" s="2406" t="e">
        <f ca="1">Inventory!$I$36</f>
        <v>#NAME?</v>
      </c>
      <c r="E65" s="2406" t="e">
        <f ca="1">Inventory!$I$70</f>
        <v>#NAME?</v>
      </c>
      <c r="F65" s="2406" t="e">
        <f ca="1">Inventory!$I$104</f>
        <v>#NAME?</v>
      </c>
      <c r="G65" s="2406" t="e">
        <f ca="1">Inventory!$I$138</f>
        <v>#NAME?</v>
      </c>
      <c r="H65" s="1484" t="e">
        <f ca="1">Inventory!$I$172</f>
        <v>#NAME?</v>
      </c>
    </row>
    <row r="66" spans="2:8" ht="18.75" customHeight="1" x14ac:dyDescent="0.2">
      <c r="B66" s="816"/>
      <c r="C66" s="816"/>
      <c r="D66" s="816"/>
      <c r="E66" s="816"/>
      <c r="F66" s="816"/>
      <c r="G66" s="816"/>
      <c r="H66" s="816"/>
    </row>
    <row r="67" spans="2:8" x14ac:dyDescent="0.2">
      <c r="B67" s="2818" t="s">
        <v>1203</v>
      </c>
      <c r="C67" s="2819"/>
      <c r="D67" s="2819"/>
      <c r="E67" s="2819"/>
      <c r="F67" s="2819"/>
      <c r="G67" s="2819"/>
      <c r="H67" s="2820"/>
    </row>
    <row r="68" spans="2:8" x14ac:dyDescent="0.2">
      <c r="B68" s="1402" t="s">
        <v>1204</v>
      </c>
      <c r="C68" s="2451" t="e">
        <f ca="1">Capacity!$I$33</f>
        <v>#NAME?</v>
      </c>
      <c r="D68" s="2451" t="e">
        <f ca="1">Capacity!$K$74</f>
        <v>#NAME?</v>
      </c>
      <c r="E68" s="2451" t="e">
        <f ca="1">Capacity!$K$115</f>
        <v>#NAME?</v>
      </c>
      <c r="F68" s="2451" t="e">
        <f ca="1">Capacity!$K$156</f>
        <v>#NAME?</v>
      </c>
      <c r="G68" s="2454" t="e">
        <f ca="1">Capacity!$K$197</f>
        <v>#NAME?</v>
      </c>
      <c r="H68" s="1485" t="e">
        <f ca="1">Capacity!$K$197</f>
        <v>#NAME?</v>
      </c>
    </row>
    <row r="69" spans="2:8" x14ac:dyDescent="0.2">
      <c r="B69" s="1259" t="s">
        <v>1205</v>
      </c>
      <c r="C69" s="2452" t="e">
        <f ca="1">C68+SUM(C64:C65)</f>
        <v>#NAME?</v>
      </c>
      <c r="D69" s="2452"/>
      <c r="E69" s="2452"/>
      <c r="F69" s="2452"/>
      <c r="G69" s="2455"/>
      <c r="H69" s="796"/>
    </row>
    <row r="70" spans="2:8" x14ac:dyDescent="0.2">
      <c r="B70" s="1260" t="s">
        <v>1206</v>
      </c>
      <c r="C70" s="2453" t="e">
        <f ca="1">C68</f>
        <v>#NAME?</v>
      </c>
      <c r="D70" s="2453" t="e">
        <f ca="1">D68+C70</f>
        <v>#NAME?</v>
      </c>
      <c r="E70" s="2453" t="e">
        <f ca="1">E68+D70</f>
        <v>#NAME?</v>
      </c>
      <c r="F70" s="2453" t="e">
        <f ca="1">F68+E70</f>
        <v>#NAME?</v>
      </c>
      <c r="G70" s="2456" t="e">
        <f ca="1">G68+F70</f>
        <v>#NAME?</v>
      </c>
      <c r="H70" s="688" t="e">
        <f ca="1">H68+G70</f>
        <v>#NAME?</v>
      </c>
    </row>
    <row r="71" spans="2:8" x14ac:dyDescent="0.2">
      <c r="B71" s="815"/>
      <c r="C71" s="1153"/>
      <c r="D71" s="816"/>
      <c r="E71" s="816"/>
      <c r="F71" s="816"/>
      <c r="G71" s="816"/>
      <c r="H71" s="815"/>
    </row>
    <row r="72" spans="2:8" x14ac:dyDescent="0.2">
      <c r="B72" s="1151" t="s">
        <v>1207</v>
      </c>
      <c r="C72" s="829"/>
      <c r="D72" s="829"/>
      <c r="E72" s="829"/>
      <c r="F72" s="829"/>
      <c r="G72" s="829"/>
      <c r="H72" s="830"/>
    </row>
    <row r="73" spans="2:8" x14ac:dyDescent="0.2">
      <c r="B73" s="700" t="s">
        <v>1208</v>
      </c>
      <c r="C73" s="2457">
        <f>Valuation!N12</f>
        <v>0.12567799999999998</v>
      </c>
      <c r="E73" s="1254"/>
      <c r="H73" s="796"/>
    </row>
    <row r="74" spans="2:8" x14ac:dyDescent="0.2">
      <c r="B74" s="700" t="s">
        <v>1209</v>
      </c>
      <c r="C74" s="2458">
        <v>0.1</v>
      </c>
      <c r="D74" s="147"/>
      <c r="E74" s="147"/>
      <c r="F74" s="147"/>
      <c r="G74" s="147"/>
      <c r="H74" s="796"/>
    </row>
    <row r="75" spans="2:8" x14ac:dyDescent="0.2">
      <c r="B75" s="700" t="s">
        <v>1210</v>
      </c>
      <c r="C75" s="2458">
        <v>0.35</v>
      </c>
      <c r="D75" s="147"/>
      <c r="E75" s="147"/>
      <c r="F75" s="147"/>
      <c r="G75" s="147"/>
      <c r="H75" s="796"/>
    </row>
    <row r="76" spans="2:8" x14ac:dyDescent="0.2">
      <c r="B76" s="701" t="s">
        <v>1211</v>
      </c>
      <c r="C76" s="2459">
        <f>CompCo!R9</f>
        <v>5.6016434299328392E-2</v>
      </c>
      <c r="D76" s="826"/>
      <c r="E76" s="826"/>
      <c r="F76" s="826"/>
      <c r="G76" s="826"/>
      <c r="H76" s="827"/>
    </row>
    <row r="77" spans="2:8" ht="17" thickBot="1" x14ac:dyDescent="0.25">
      <c r="B77" s="147"/>
      <c r="C77" s="1418"/>
      <c r="D77" s="147"/>
      <c r="E77" s="147"/>
      <c r="F77" s="147"/>
      <c r="G77" s="147"/>
      <c r="H77" s="147"/>
    </row>
    <row r="78" spans="2:8" ht="18" thickTop="1" thickBot="1" x14ac:dyDescent="0.25">
      <c r="B78" s="817" t="s">
        <v>1212</v>
      </c>
      <c r="C78" s="1486" t="e">
        <f ca="1">'Balance Sheet'!C24</f>
        <v>#NAME?</v>
      </c>
      <c r="D78" s="147"/>
      <c r="E78" s="147"/>
      <c r="F78" s="147"/>
      <c r="G78" s="147"/>
      <c r="H78" s="147"/>
    </row>
    <row r="79" spans="2:8" x14ac:dyDescent="0.2">
      <c r="B79" s="1523"/>
      <c r="C79" s="1523"/>
      <c r="D79" s="1523"/>
      <c r="E79" s="1523"/>
      <c r="F79" s="1523"/>
      <c r="G79" s="1523"/>
      <c r="H79" s="1523"/>
    </row>
    <row r="80" spans="2:8" x14ac:dyDescent="0.2">
      <c r="B80" s="149"/>
      <c r="C80" s="149"/>
      <c r="D80" s="149"/>
      <c r="E80" s="149"/>
      <c r="F80" s="149"/>
      <c r="G80" s="149"/>
      <c r="H80" s="149"/>
    </row>
    <row r="81" spans="2:8" x14ac:dyDescent="0.2">
      <c r="B81" s="149"/>
      <c r="C81" s="149"/>
      <c r="D81" s="149"/>
      <c r="E81" s="149"/>
      <c r="F81" s="149"/>
      <c r="G81" s="149"/>
      <c r="H81" s="149"/>
    </row>
  </sheetData>
  <mergeCells count="4">
    <mergeCell ref="B11:H11"/>
    <mergeCell ref="B25:H25"/>
    <mergeCell ref="B61:H61"/>
    <mergeCell ref="B67:H67"/>
  </mergeCells>
  <phoneticPr fontId="59" type="noConversion"/>
  <hyperlinks>
    <hyperlink ref="A1" location="INDEX!A1" display="Index"/>
  </hyperlink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M55"/>
  <sheetViews>
    <sheetView showGridLines="0" zoomScale="90" workbookViewId="0">
      <pane ySplit="4" topLeftCell="A5" activePane="bottomLeft" state="frozen"/>
      <selection activeCell="D38" sqref="D38"/>
      <selection pane="bottomLeft" activeCell="C8" sqref="C8"/>
    </sheetView>
  </sheetViews>
  <sheetFormatPr baseColWidth="10" defaultColWidth="8.83203125" defaultRowHeight="16" x14ac:dyDescent="0.2"/>
  <cols>
    <col min="1" max="1" width="8.83203125" style="2"/>
    <col min="2" max="2" width="37.5" style="146" customWidth="1"/>
    <col min="3" max="3" width="15.83203125" style="2" customWidth="1"/>
    <col min="4" max="4" width="14" style="2" customWidth="1"/>
    <col min="5" max="5" width="13.6640625" style="2" customWidth="1"/>
    <col min="6" max="8" width="14.6640625" style="2" customWidth="1"/>
    <col min="9" max="9" width="10.1640625" style="2" bestFit="1" customWidth="1"/>
    <col min="10" max="10" width="11.6640625" style="2" bestFit="1" customWidth="1"/>
    <col min="11" max="12" width="8.83203125" style="2"/>
    <col min="13" max="13" width="17.1640625" style="2" customWidth="1"/>
    <col min="14" max="14" width="22.6640625" style="2" customWidth="1"/>
    <col min="15" max="15" width="8.83203125" style="2"/>
    <col min="16" max="16" width="26.1640625" style="2" customWidth="1"/>
    <col min="17" max="16384" width="8.83203125" style="2"/>
  </cols>
  <sheetData>
    <row r="1" spans="1:9" x14ac:dyDescent="0.2">
      <c r="A1" s="1771" t="s">
        <v>38</v>
      </c>
    </row>
    <row r="2" spans="1:9" x14ac:dyDescent="0.2">
      <c r="B2" s="145" t="s">
        <v>1134</v>
      </c>
      <c r="C2" s="145"/>
    </row>
    <row r="3" spans="1:9" x14ac:dyDescent="0.2">
      <c r="B3" s="145" t="s">
        <v>29</v>
      </c>
      <c r="C3" s="145"/>
    </row>
    <row r="4" spans="1:9" x14ac:dyDescent="0.2">
      <c r="B4" s="146" t="s">
        <v>1137</v>
      </c>
      <c r="C4" s="696" t="s">
        <v>1213</v>
      </c>
      <c r="D4" s="696" t="s">
        <v>71</v>
      </c>
      <c r="E4" s="696" t="s">
        <v>72</v>
      </c>
      <c r="F4" s="696" t="s">
        <v>73</v>
      </c>
      <c r="G4" s="696" t="s">
        <v>74</v>
      </c>
      <c r="H4" s="696" t="s">
        <v>75</v>
      </c>
    </row>
    <row r="5" spans="1:9" ht="17" thickBot="1" x14ac:dyDescent="0.25">
      <c r="C5" s="696"/>
      <c r="D5" s="696"/>
      <c r="E5" s="696"/>
      <c r="F5" s="696"/>
      <c r="G5" s="696"/>
      <c r="H5" s="696"/>
    </row>
    <row r="6" spans="1:9" ht="17" thickBot="1" x14ac:dyDescent="0.25">
      <c r="B6" s="2726" t="s">
        <v>1524</v>
      </c>
      <c r="C6" s="2724" t="s">
        <v>1517</v>
      </c>
      <c r="D6" s="2725" t="s">
        <v>1519</v>
      </c>
      <c r="E6" s="696"/>
      <c r="F6" s="696"/>
      <c r="G6" s="696"/>
      <c r="H6" s="696"/>
    </row>
    <row r="7" spans="1:9" ht="17" thickBot="1" x14ac:dyDescent="0.25">
      <c r="B7" s="2723" t="s">
        <v>1464</v>
      </c>
      <c r="C7" s="2720">
        <v>-2175231</v>
      </c>
      <c r="D7" s="2730" t="s">
        <v>1525</v>
      </c>
      <c r="E7" s="696"/>
      <c r="F7" s="696"/>
      <c r="G7" s="696"/>
      <c r="H7" s="696"/>
    </row>
    <row r="8" spans="1:9" ht="97" thickBot="1" x14ac:dyDescent="0.25">
      <c r="B8" s="2722" t="s">
        <v>1526</v>
      </c>
      <c r="C8" s="696"/>
      <c r="D8" s="696"/>
      <c r="E8" s="696"/>
      <c r="F8" s="696"/>
      <c r="G8" s="696"/>
      <c r="H8" s="696"/>
    </row>
    <row r="9" spans="1:9" ht="17" thickBot="1" x14ac:dyDescent="0.25">
      <c r="C9" s="696"/>
      <c r="D9" s="696"/>
      <c r="E9" s="696"/>
      <c r="F9" s="696"/>
      <c r="G9" s="696"/>
      <c r="H9" s="696"/>
    </row>
    <row r="10" spans="1:9" ht="15" customHeight="1" thickTop="1" thickBot="1" x14ac:dyDescent="0.25">
      <c r="B10" s="2824" t="s">
        <v>29</v>
      </c>
      <c r="C10" s="2825"/>
      <c r="D10" s="2825"/>
      <c r="E10" s="2825"/>
      <c r="F10" s="2825"/>
      <c r="G10" s="2825"/>
      <c r="H10" s="2826"/>
      <c r="I10" s="149"/>
    </row>
    <row r="11" spans="1:9" ht="17" thickTop="1" x14ac:dyDescent="0.2">
      <c r="B11" s="1243" t="s">
        <v>1214</v>
      </c>
      <c r="C11" s="2460">
        <v>0</v>
      </c>
      <c r="D11" s="2465" t="e">
        <f ca="1">'BASES MODEL (Base Case)'!C37*'BASES MODEL (Base Case)'!C38</f>
        <v>#NAME?</v>
      </c>
      <c r="E11" s="2465" t="e">
        <f ca="1">'BASES MODEL (Base Case)'!D37*'BASES MODEL (Base Case)'!D38</f>
        <v>#NAME?</v>
      </c>
      <c r="F11" s="2465" t="e">
        <f ca="1">'BASES MODEL (Base Case)'!E37*'BASES MODEL (Base Case)'!E38</f>
        <v>#NAME?</v>
      </c>
      <c r="G11" s="2465" t="e">
        <f ca="1">'BASES MODEL (Base Case)'!F37*'BASES MODEL (Base Case)'!F38</f>
        <v>#NAME?</v>
      </c>
      <c r="H11" s="2465" t="e">
        <f ca="1">'BASES MODEL (Base Case)'!G37*'BASES MODEL (Base Case)'!G38</f>
        <v>#NAME?</v>
      </c>
    </row>
    <row r="12" spans="1:9" x14ac:dyDescent="0.2">
      <c r="B12" s="1105" t="s">
        <v>1215</v>
      </c>
      <c r="C12" s="2461">
        <f>-'FE Assumptions'!C46*'FE Assumptions'!C34</f>
        <v>0</v>
      </c>
      <c r="D12" s="2466" t="e">
        <f ca="1">-'FE Assumptions'!D46*'BASES MODEL (Base Case)'!C37</f>
        <v>#NAME?</v>
      </c>
      <c r="E12" s="2466" t="e">
        <f ca="1">-'FE Assumptions'!E46*'BASES MODEL (Base Case)'!D37</f>
        <v>#NAME?</v>
      </c>
      <c r="F12" s="2466" t="e">
        <f ca="1">-'FE Assumptions'!F46*'BASES MODEL (Base Case)'!E37</f>
        <v>#NAME?</v>
      </c>
      <c r="G12" s="2466" t="e">
        <f ca="1">-'FE Assumptions'!G46*'BASES MODEL (Base Case)'!F37</f>
        <v>#NAME?</v>
      </c>
      <c r="H12" s="2466" t="e">
        <f ca="1">-'FE Assumptions'!H46*'BASES MODEL (Base Case)'!G37</f>
        <v>#NAME?</v>
      </c>
    </row>
    <row r="13" spans="1:9" ht="17" thickBot="1" x14ac:dyDescent="0.25">
      <c r="B13" s="1273" t="s">
        <v>1216</v>
      </c>
      <c r="C13" s="2462">
        <f>-'FE Assumptions'!C48</f>
        <v>0</v>
      </c>
      <c r="D13" s="2467" t="e">
        <f ca="1">-'FE Assumptions'!D48</f>
        <v>#NAME?</v>
      </c>
      <c r="E13" s="2467" t="e">
        <f ca="1">-'FE Assumptions'!E48</f>
        <v>#NAME?</v>
      </c>
      <c r="F13" s="2467" t="e">
        <f ca="1">-'FE Assumptions'!F48</f>
        <v>#NAME?</v>
      </c>
      <c r="G13" s="2467" t="e">
        <f ca="1">-'FE Assumptions'!G48</f>
        <v>#NAME?</v>
      </c>
      <c r="H13" s="1242" t="e">
        <f ca="1">-'FE Assumptions'!H48</f>
        <v>#NAME?</v>
      </c>
    </row>
    <row r="14" spans="1:9" ht="18" thickTop="1" thickBot="1" x14ac:dyDescent="0.25">
      <c r="B14" s="1274" t="s">
        <v>1181</v>
      </c>
      <c r="C14" s="2462"/>
      <c r="D14" s="2467" t="e">
        <f ca="1">SUM(D12:D13)</f>
        <v>#NAME?</v>
      </c>
      <c r="E14" s="2467" t="e">
        <f ca="1">SUM(E12:E13)</f>
        <v>#NAME?</v>
      </c>
      <c r="F14" s="2467" t="e">
        <f ca="1">SUM(F12:F13)</f>
        <v>#NAME?</v>
      </c>
      <c r="G14" s="2467" t="e">
        <f ca="1">SUM(G12:G13)</f>
        <v>#NAME?</v>
      </c>
      <c r="H14" s="1242" t="e">
        <f ca="1">SUM(H12:H13)</f>
        <v>#NAME?</v>
      </c>
    </row>
    <row r="15" spans="1:9" ht="17" thickTop="1" x14ac:dyDescent="0.2">
      <c r="B15" s="1243" t="s">
        <v>1217</v>
      </c>
      <c r="C15" s="2461"/>
      <c r="D15" s="2466" t="e">
        <f ca="1">SUM(D11,D14)</f>
        <v>#NAME?</v>
      </c>
      <c r="E15" s="2466" t="e">
        <f ca="1">SUM(E11,E14)</f>
        <v>#NAME?</v>
      </c>
      <c r="F15" s="2466" t="e">
        <f ca="1">SUM(F11,F14)</f>
        <v>#NAME?</v>
      </c>
      <c r="G15" s="2466" t="e">
        <f ca="1">SUM(G11,G14)</f>
        <v>#NAME?</v>
      </c>
      <c r="H15" s="622" t="e">
        <f ca="1">SUM(H11,H14)</f>
        <v>#NAME?</v>
      </c>
    </row>
    <row r="16" spans="1:9" x14ac:dyDescent="0.2">
      <c r="B16" s="744" t="s">
        <v>1218</v>
      </c>
      <c r="C16" s="2461" t="e">
        <f ca="1">-'FE Assumptions'!$C$23</f>
        <v>#NAME?</v>
      </c>
      <c r="D16" s="2466" t="s">
        <v>1167</v>
      </c>
      <c r="E16" s="2466" t="s">
        <v>1167</v>
      </c>
      <c r="F16" s="2466" t="s">
        <v>1167</v>
      </c>
      <c r="G16" s="2466" t="s">
        <v>1167</v>
      </c>
      <c r="H16" s="622" t="s">
        <v>1167</v>
      </c>
    </row>
    <row r="17" spans="2:13" x14ac:dyDescent="0.2">
      <c r="B17" s="1105" t="s">
        <v>1219</v>
      </c>
      <c r="C17" s="2461">
        <f>-'FE Assumptions'!C54</f>
        <v>-223003.25</v>
      </c>
      <c r="D17" s="2466" t="e">
        <f ca="1">-'FE Assumptions'!D54</f>
        <v>#NAME?</v>
      </c>
      <c r="E17" s="2466" t="e">
        <f ca="1">-'FE Assumptions'!E54</f>
        <v>#NAME?</v>
      </c>
      <c r="F17" s="2466" t="e">
        <f ca="1">-'FE Assumptions'!F54</f>
        <v>#NAME?</v>
      </c>
      <c r="G17" s="2466" t="e">
        <f ca="1">-'FE Assumptions'!G54</f>
        <v>#NAME?</v>
      </c>
      <c r="H17" s="622" t="e">
        <f ca="1">-'FE Assumptions'!H54</f>
        <v>#NAME?</v>
      </c>
    </row>
    <row r="18" spans="2:13" x14ac:dyDescent="0.2">
      <c r="B18" s="1105" t="s">
        <v>1220</v>
      </c>
      <c r="C18" s="2461">
        <f>-'FE Assumptions'!C55</f>
        <v>0</v>
      </c>
      <c r="D18" s="2466">
        <f>-'FE Assumptions'!D55</f>
        <v>-173323.69999999998</v>
      </c>
      <c r="E18" s="2466">
        <f>-'FE Assumptions'!E55</f>
        <v>-173323.69999999998</v>
      </c>
      <c r="F18" s="2466">
        <f>-'FE Assumptions'!F55</f>
        <v>-383229.94999999995</v>
      </c>
      <c r="G18" s="2466">
        <f>-'FE Assumptions'!G55</f>
        <v>-426729.94999999995</v>
      </c>
      <c r="H18" s="622">
        <f>-'FE Assumptions'!H55</f>
        <v>-426729.94999999995</v>
      </c>
    </row>
    <row r="19" spans="2:13" ht="32" x14ac:dyDescent="0.2">
      <c r="B19" s="1105" t="s">
        <v>1221</v>
      </c>
      <c r="C19" s="2463" t="s">
        <v>1167</v>
      </c>
      <c r="D19" s="2468">
        <f>-'FE Assumptions'!D56</f>
        <v>0</v>
      </c>
      <c r="E19" s="2468">
        <f>-'FE Assumptions'!E56</f>
        <v>0</v>
      </c>
      <c r="F19" s="2468" t="e">
        <f ca="1">-'FE Assumptions'!F56</f>
        <v>#NAME?</v>
      </c>
      <c r="G19" s="2468" t="e">
        <f ca="1">-'FE Assumptions'!G56</f>
        <v>#NAME?</v>
      </c>
      <c r="H19" s="1238" t="e">
        <f ca="1">-'FE Assumptions'!H56</f>
        <v>#NAME?</v>
      </c>
    </row>
    <row r="20" spans="2:13" ht="33" thickBot="1" x14ac:dyDescent="0.25">
      <c r="B20" s="1273" t="s">
        <v>1222</v>
      </c>
      <c r="C20" s="2464">
        <f>-'FE Assumptions'!C57</f>
        <v>0</v>
      </c>
      <c r="D20" s="2469" t="e">
        <f ca="1">-'FE Assumptions'!D57</f>
        <v>#NAME?</v>
      </c>
      <c r="E20" s="2469" t="e">
        <f ca="1">-'FE Assumptions'!E57</f>
        <v>#NAME?</v>
      </c>
      <c r="F20" s="2469" t="e">
        <f ca="1">-'FE Assumptions'!F57</f>
        <v>#NAME?</v>
      </c>
      <c r="G20" s="2469" t="e">
        <f ca="1">-'FE Assumptions'!G57</f>
        <v>#NAME?</v>
      </c>
      <c r="H20" s="1240" t="e">
        <f ca="1">-'FE Assumptions'!H57</f>
        <v>#NAME?</v>
      </c>
      <c r="I20" s="2">
        <v>-2175231.6274135592</v>
      </c>
      <c r="J20" s="2">
        <v>0.24001185533254088</v>
      </c>
      <c r="K20" s="2">
        <v>-8.859673023988815E-2</v>
      </c>
      <c r="L20" s="2">
        <v>0.35653689504193892</v>
      </c>
      <c r="M20" s="2">
        <v>7.9223918467400192E-2</v>
      </c>
    </row>
    <row r="21" spans="2:13" ht="17" thickTop="1" x14ac:dyDescent="0.2">
      <c r="B21" s="1275" t="s">
        <v>1223</v>
      </c>
      <c r="C21" s="2461" t="e">
        <f t="shared" ref="C21" ca="1" si="0">SUM(C16:C20)</f>
        <v>#NAME?</v>
      </c>
      <c r="D21" s="2624" t="e">
        <f ca="1">RiskNormal(J23,K23)</f>
        <v>#NAME?</v>
      </c>
      <c r="E21" s="2624" t="e">
        <f ca="1">D21*(1+J20)</f>
        <v>#NAME?</v>
      </c>
      <c r="F21" s="2624" t="e">
        <f t="shared" ref="F21:H21" ca="1" si="1">E21*(1+K20)</f>
        <v>#NAME?</v>
      </c>
      <c r="G21" s="2624" t="e">
        <f t="shared" ca="1" si="1"/>
        <v>#NAME?</v>
      </c>
      <c r="H21" s="2624" t="e">
        <f t="shared" ca="1" si="1"/>
        <v>#NAME?</v>
      </c>
      <c r="I21" s="2564" t="e">
        <f ca="1">(E21-D21)/D21</f>
        <v>#NAME?</v>
      </c>
      <c r="J21" s="2564" t="e">
        <f t="shared" ref="J21:L21" ca="1" si="2">(F21-E21)/E21</f>
        <v>#NAME?</v>
      </c>
      <c r="K21" s="2564" t="e">
        <f t="shared" ca="1" si="2"/>
        <v>#NAME?</v>
      </c>
      <c r="L21" s="2564" t="e">
        <f t="shared" ca="1" si="2"/>
        <v>#NAME?</v>
      </c>
      <c r="M21" s="2563"/>
    </row>
    <row r="22" spans="2:13" x14ac:dyDescent="0.2">
      <c r="B22" s="1105" t="s">
        <v>1224</v>
      </c>
      <c r="C22" s="2461" t="e">
        <f ca="1">-'FE Assumptions'!C52</f>
        <v>#NAME?</v>
      </c>
      <c r="D22" s="2470" t="e">
        <f ca="1">-'FE Assumptions'!D52</f>
        <v>#NAME?</v>
      </c>
      <c r="E22" s="2470" t="e">
        <f ca="1">-'FE Assumptions'!E52</f>
        <v>#NAME?</v>
      </c>
      <c r="F22" s="2470" t="e">
        <f ca="1">-'FE Assumptions'!F52</f>
        <v>#NAME?</v>
      </c>
      <c r="G22" s="2470" t="e">
        <f ca="1">-'FE Assumptions'!G52</f>
        <v>#NAME?</v>
      </c>
      <c r="H22" s="739" t="e">
        <f ca="1">-'FE Assumptions'!H52</f>
        <v>#NAME?</v>
      </c>
      <c r="J22" s="2622" t="s">
        <v>1502</v>
      </c>
      <c r="K22" s="2619" t="s">
        <v>1506</v>
      </c>
    </row>
    <row r="23" spans="2:13" ht="17" thickBot="1" x14ac:dyDescent="0.25">
      <c r="B23" s="1273" t="s">
        <v>1196</v>
      </c>
      <c r="C23" s="2462" t="e">
        <f ca="1">-'FE Assumptions'!$D$58</f>
        <v>#NAME?</v>
      </c>
      <c r="D23" s="2471" t="e">
        <f ca="1">-'FE Assumptions'!$D$58</f>
        <v>#NAME?</v>
      </c>
      <c r="E23" s="2471" t="e">
        <f ca="1">-'FE Assumptions'!$E$58</f>
        <v>#NAME?</v>
      </c>
      <c r="F23" s="2471" t="e">
        <f ca="1">-'FE Assumptions'!$F$58</f>
        <v>#NAME?</v>
      </c>
      <c r="G23" s="2471" t="e">
        <f ca="1">-'FE Assumptions'!$G$58</f>
        <v>#NAME?</v>
      </c>
      <c r="H23" s="1241" t="e">
        <f ca="1">-'FE Assumptions'!$H$58</f>
        <v>#NAME?</v>
      </c>
      <c r="J23" s="2619">
        <v>-2175231.5</v>
      </c>
      <c r="K23" s="2619">
        <v>261027.79199999999</v>
      </c>
    </row>
    <row r="24" spans="2:13" ht="18" thickTop="1" thickBot="1" x14ac:dyDescent="0.25">
      <c r="B24" s="1276" t="s">
        <v>1225</v>
      </c>
      <c r="C24" s="2462" t="e">
        <f t="shared" ref="C24:H24" ca="1" si="3">SUM(C22:C23)</f>
        <v>#NAME?</v>
      </c>
      <c r="D24" s="2467" t="e">
        <f t="shared" ca="1" si="3"/>
        <v>#NAME?</v>
      </c>
      <c r="E24" s="2467" t="e">
        <f t="shared" ca="1" si="3"/>
        <v>#NAME?</v>
      </c>
      <c r="F24" s="2467" t="e">
        <f t="shared" ca="1" si="3"/>
        <v>#NAME?</v>
      </c>
      <c r="G24" s="2467" t="e">
        <f t="shared" ca="1" si="3"/>
        <v>#NAME?</v>
      </c>
      <c r="H24" s="1242" t="e">
        <f t="shared" ca="1" si="3"/>
        <v>#NAME?</v>
      </c>
    </row>
    <row r="25" spans="2:13" ht="17" thickTop="1" x14ac:dyDescent="0.2">
      <c r="B25" s="1275" t="s">
        <v>1226</v>
      </c>
      <c r="C25" s="2461" t="e">
        <f t="shared" ref="C25:H25" ca="1" si="4">C15+C21+C24</f>
        <v>#NAME?</v>
      </c>
      <c r="D25" s="2466" t="e">
        <f t="shared" ca="1" si="4"/>
        <v>#NAME?</v>
      </c>
      <c r="E25" s="2466" t="e">
        <f t="shared" ca="1" si="4"/>
        <v>#NAME?</v>
      </c>
      <c r="F25" s="2466" t="e">
        <f t="shared" ca="1" si="4"/>
        <v>#NAME?</v>
      </c>
      <c r="G25" s="2466" t="e">
        <f t="shared" ca="1" si="4"/>
        <v>#NAME?</v>
      </c>
      <c r="H25" s="622" t="e">
        <f t="shared" ca="1" si="4"/>
        <v>#NAME?</v>
      </c>
    </row>
    <row r="26" spans="2:13" x14ac:dyDescent="0.2">
      <c r="B26" s="1105" t="s">
        <v>1227</v>
      </c>
      <c r="C26" s="2461" t="e">
        <f ca="1">-'Depreciation Tables'!$G$4</f>
        <v>#NAME?</v>
      </c>
      <c r="D26" s="2466" t="e">
        <f ca="1">-'Depreciation Tables'!$G$5</f>
        <v>#NAME?</v>
      </c>
      <c r="E26" s="2466" t="e">
        <f ca="1">-'Depreciation Tables'!$G$6</f>
        <v>#NAME?</v>
      </c>
      <c r="F26" s="2466" t="e">
        <f ca="1">-'Depreciation Tables'!$G$7</f>
        <v>#NAME?</v>
      </c>
      <c r="G26" s="2466" t="e">
        <f ca="1">-'Depreciation Tables'!$G$8</f>
        <v>#NAME?</v>
      </c>
      <c r="H26" s="622" t="e">
        <f ca="1">-'Depreciation Tables'!$G$9</f>
        <v>#NAME?</v>
      </c>
    </row>
    <row r="27" spans="2:13" x14ac:dyDescent="0.2">
      <c r="B27" s="1105" t="s">
        <v>1228</v>
      </c>
      <c r="C27" s="2461" t="e">
        <f ca="1">-'Depreciation Tables'!$L$4</f>
        <v>#NAME?</v>
      </c>
      <c r="D27" s="2466" t="e">
        <f ca="1">-'Depreciation Tables'!$L$5</f>
        <v>#NAME?</v>
      </c>
      <c r="E27" s="2466" t="e">
        <f ca="1">-'Depreciation Tables'!$L$6</f>
        <v>#NAME?</v>
      </c>
      <c r="F27" s="2466" t="e">
        <f ca="1">-'Depreciation Tables'!$L$7</f>
        <v>#NAME?</v>
      </c>
      <c r="G27" s="2466" t="e">
        <f ca="1">-'Depreciation Tables'!$L$8</f>
        <v>#NAME?</v>
      </c>
      <c r="H27" s="622" t="e">
        <f ca="1">-'Depreciation Tables'!$L$9</f>
        <v>#NAME?</v>
      </c>
    </row>
    <row r="28" spans="2:13" ht="17" thickBot="1" x14ac:dyDescent="0.25">
      <c r="B28" s="1244" t="s">
        <v>1229</v>
      </c>
      <c r="C28" s="2462" t="e">
        <f t="shared" ref="C28:H28" ca="1" si="5">SUM(C26:C27)</f>
        <v>#NAME?</v>
      </c>
      <c r="D28" s="2467" t="e">
        <f t="shared" ca="1" si="5"/>
        <v>#NAME?</v>
      </c>
      <c r="E28" s="2467" t="e">
        <f t="shared" ca="1" si="5"/>
        <v>#NAME?</v>
      </c>
      <c r="F28" s="2467" t="e">
        <f t="shared" ca="1" si="5"/>
        <v>#NAME?</v>
      </c>
      <c r="G28" s="2467" t="e">
        <f t="shared" ca="1" si="5"/>
        <v>#NAME?</v>
      </c>
      <c r="H28" s="1242" t="e">
        <f t="shared" ca="1" si="5"/>
        <v>#NAME?</v>
      </c>
    </row>
    <row r="29" spans="2:13" ht="17" thickTop="1" x14ac:dyDescent="0.2">
      <c r="B29" s="1243" t="s">
        <v>1230</v>
      </c>
      <c r="C29" s="2461" t="e">
        <f ca="1">SUM(C25,C28)</f>
        <v>#NAME?</v>
      </c>
      <c r="D29" s="2466" t="e">
        <f t="shared" ref="D29:H29" ca="1" si="6">SUM(D25,D28)</f>
        <v>#NAME?</v>
      </c>
      <c r="E29" s="2466" t="e">
        <f t="shared" ca="1" si="6"/>
        <v>#NAME?</v>
      </c>
      <c r="F29" s="2466" t="e">
        <f t="shared" ca="1" si="6"/>
        <v>#NAME?</v>
      </c>
      <c r="G29" s="2466" t="e">
        <f t="shared" ca="1" si="6"/>
        <v>#NAME?</v>
      </c>
      <c r="H29" s="622" t="e">
        <f t="shared" ca="1" si="6"/>
        <v>#NAME?</v>
      </c>
      <c r="I29" s="621"/>
      <c r="K29" s="1"/>
    </row>
    <row r="30" spans="2:13" ht="17" thickBot="1" x14ac:dyDescent="0.25">
      <c r="B30" s="1244" t="s">
        <v>1231</v>
      </c>
      <c r="C30" s="2462" t="e">
        <f ca="1">IF(C29&gt;0,-C29*0.01,0)</f>
        <v>#NAME?</v>
      </c>
      <c r="D30" s="2467" t="e">
        <f t="shared" ref="D30:H30" ca="1" si="7">IF(D29&gt;0,-D29*0.01,0)</f>
        <v>#NAME?</v>
      </c>
      <c r="E30" s="2467" t="e">
        <f t="shared" ca="1" si="7"/>
        <v>#NAME?</v>
      </c>
      <c r="F30" s="2467" t="e">
        <f t="shared" ca="1" si="7"/>
        <v>#NAME?</v>
      </c>
      <c r="G30" s="2467" t="e">
        <f t="shared" ca="1" si="7"/>
        <v>#NAME?</v>
      </c>
      <c r="H30" s="1242" t="e">
        <f t="shared" ca="1" si="7"/>
        <v>#NAME?</v>
      </c>
      <c r="I30" s="621"/>
      <c r="K30" s="1"/>
    </row>
    <row r="31" spans="2:13" ht="17" thickTop="1" x14ac:dyDescent="0.2">
      <c r="B31" s="1243" t="s">
        <v>1232</v>
      </c>
      <c r="C31" s="2461" t="e">
        <f ca="1">SUM(C29:C30)</f>
        <v>#NAME?</v>
      </c>
      <c r="D31" s="2466" t="e">
        <f t="shared" ref="D31:H31" ca="1" si="8">SUM(D29:D30)</f>
        <v>#NAME?</v>
      </c>
      <c r="E31" s="2466" t="e">
        <f t="shared" ca="1" si="8"/>
        <v>#NAME?</v>
      </c>
      <c r="F31" s="2466" t="e">
        <f t="shared" ca="1" si="8"/>
        <v>#NAME?</v>
      </c>
      <c r="G31" s="2466" t="e">
        <f t="shared" ca="1" si="8"/>
        <v>#NAME?</v>
      </c>
      <c r="H31" s="622" t="e">
        <f t="shared" ca="1" si="8"/>
        <v>#NAME?</v>
      </c>
      <c r="I31" s="621"/>
      <c r="K31" s="1"/>
    </row>
    <row r="32" spans="2:13" ht="17" thickBot="1" x14ac:dyDescent="0.25">
      <c r="B32" s="1273" t="s">
        <v>1233</v>
      </c>
      <c r="C32" s="2462" t="e">
        <f ca="1">-0.35*C31</f>
        <v>#NAME?</v>
      </c>
      <c r="D32" s="2467" t="e">
        <f t="shared" ref="D32:H32" ca="1" si="9">-0.35*D31</f>
        <v>#NAME?</v>
      </c>
      <c r="E32" s="2467" t="e">
        <f t="shared" ca="1" si="9"/>
        <v>#NAME?</v>
      </c>
      <c r="F32" s="2467" t="e">
        <f t="shared" ca="1" si="9"/>
        <v>#NAME?</v>
      </c>
      <c r="G32" s="2467" t="e">
        <f t="shared" ca="1" si="9"/>
        <v>#NAME?</v>
      </c>
      <c r="H32" s="1242" t="e">
        <f t="shared" ca="1" si="9"/>
        <v>#NAME?</v>
      </c>
    </row>
    <row r="33" spans="1:10" ht="18" thickTop="1" thickBot="1" x14ac:dyDescent="0.25">
      <c r="B33" s="1277" t="s">
        <v>1234</v>
      </c>
      <c r="C33" s="1239" t="e">
        <f ca="1">SUM(C31,C32)</f>
        <v>#NAME?</v>
      </c>
      <c r="D33" s="1239" t="e">
        <f t="shared" ref="D33:H33" ca="1" si="10">SUM(D31,D32)</f>
        <v>#NAME?</v>
      </c>
      <c r="E33" s="1239" t="e">
        <f t="shared" ca="1" si="10"/>
        <v>#NAME?</v>
      </c>
      <c r="F33" s="1239" t="e">
        <f t="shared" ca="1" si="10"/>
        <v>#NAME?</v>
      </c>
      <c r="G33" s="1239" t="e">
        <f t="shared" ca="1" si="10"/>
        <v>#NAME?</v>
      </c>
      <c r="H33" s="1388" t="e">
        <f t="shared" ca="1" si="10"/>
        <v>#NAME?</v>
      </c>
    </row>
    <row r="34" spans="1:10" x14ac:dyDescent="0.2">
      <c r="A34" s="149"/>
      <c r="B34" s="1257"/>
      <c r="C34" s="1258"/>
      <c r="D34" s="1258"/>
      <c r="E34" s="1258"/>
      <c r="F34" s="1258"/>
      <c r="G34" s="1258"/>
      <c r="H34" s="1258"/>
      <c r="I34" s="149"/>
    </row>
    <row r="35" spans="1:10" x14ac:dyDescent="0.2">
      <c r="B35" s="1173" t="s">
        <v>1235</v>
      </c>
      <c r="C35" s="2487"/>
      <c r="D35" s="2488"/>
      <c r="E35" s="2488" t="e">
        <f ca="1">-(E33-D33)/D33</f>
        <v>#NAME?</v>
      </c>
      <c r="F35" s="2488" t="e">
        <f ca="1">(F33-E33)/E33</f>
        <v>#NAME?</v>
      </c>
      <c r="G35" s="2488" t="e">
        <f ca="1">(G33-F33)/F33</f>
        <v>#NAME?</v>
      </c>
      <c r="H35" s="1193" t="e">
        <f ca="1">(H33-G33)/G33</f>
        <v>#NAME?</v>
      </c>
    </row>
    <row r="36" spans="1:10" x14ac:dyDescent="0.2">
      <c r="B36" s="1255"/>
      <c r="C36" s="816"/>
      <c r="D36" s="816"/>
      <c r="E36" s="1256"/>
      <c r="F36" s="1256"/>
      <c r="G36" s="1256"/>
      <c r="H36" s="1256"/>
      <c r="I36" s="149"/>
    </row>
    <row r="37" spans="1:10" x14ac:dyDescent="0.2">
      <c r="B37" s="2821" t="s">
        <v>1236</v>
      </c>
      <c r="C37" s="2822"/>
      <c r="D37" s="2822"/>
      <c r="E37" s="2822"/>
      <c r="F37" s="2822"/>
      <c r="G37" s="2822"/>
      <c r="H37" s="2823"/>
    </row>
    <row r="38" spans="1:10" x14ac:dyDescent="0.2">
      <c r="B38" s="708" t="s">
        <v>1234</v>
      </c>
      <c r="C38" s="2472" t="e">
        <f t="shared" ref="C38:H38" ca="1" si="11">C33</f>
        <v>#NAME?</v>
      </c>
      <c r="D38" s="2474" t="e">
        <f t="shared" ca="1" si="11"/>
        <v>#NAME?</v>
      </c>
      <c r="E38" s="2478" t="e">
        <f t="shared" ca="1" si="11"/>
        <v>#NAME?</v>
      </c>
      <c r="F38" s="2478" t="e">
        <f t="shared" ca="1" si="11"/>
        <v>#NAME?</v>
      </c>
      <c r="G38" s="2478" t="e">
        <f t="shared" ca="1" si="11"/>
        <v>#NAME?</v>
      </c>
      <c r="H38" s="1296" t="e">
        <f t="shared" ca="1" si="11"/>
        <v>#NAME?</v>
      </c>
    </row>
    <row r="39" spans="1:10" x14ac:dyDescent="0.2">
      <c r="B39" s="709" t="s">
        <v>1237</v>
      </c>
      <c r="C39" s="2418" t="e">
        <f ca="1">IF(Valuation!C11&gt;0,-Valuation!C11,0)</f>
        <v>#NAME?</v>
      </c>
      <c r="D39" s="2475" t="e">
        <f ca="1">IF(Valuation!D11&gt;0,-Valuation!D11,0)</f>
        <v>#NAME?</v>
      </c>
      <c r="E39" s="2475" t="e">
        <f ca="1">IF(Valuation!E11&gt;0,-Valuation!E11,0)</f>
        <v>#NAME?</v>
      </c>
      <c r="F39" s="2475" t="e">
        <f ca="1">IF(Valuation!F11&gt;0,-Valuation!F11,0)</f>
        <v>#NAME?</v>
      </c>
      <c r="G39" s="2475" t="e">
        <f ca="1">IF(Valuation!G11&gt;0,-Valuation!G11,0)</f>
        <v>#NAME?</v>
      </c>
      <c r="H39" s="524" t="e">
        <f ca="1">IF(Valuation!H11&gt;0,-Valuation!H11,0)</f>
        <v>#NAME?</v>
      </c>
      <c r="I39" s="678"/>
      <c r="J39" s="523"/>
    </row>
    <row r="40" spans="1:10" x14ac:dyDescent="0.2">
      <c r="A40" s="149"/>
      <c r="B40" s="1318" t="s">
        <v>1238</v>
      </c>
      <c r="C40" s="2473" t="e">
        <f t="shared" ref="C40:H40" ca="1" si="12">-C39/C38</f>
        <v>#NAME?</v>
      </c>
      <c r="D40" s="2476" t="e">
        <f t="shared" ca="1" si="12"/>
        <v>#NAME?</v>
      </c>
      <c r="E40" s="2476" t="e">
        <f t="shared" ca="1" si="12"/>
        <v>#NAME?</v>
      </c>
      <c r="F40" s="2476" t="e">
        <f t="shared" ca="1" si="12"/>
        <v>#NAME?</v>
      </c>
      <c r="G40" s="2476" t="e">
        <f t="shared" ca="1" si="12"/>
        <v>#NAME?</v>
      </c>
      <c r="H40" s="1522" t="e">
        <f t="shared" ca="1" si="12"/>
        <v>#NAME?</v>
      </c>
      <c r="I40" s="1319"/>
      <c r="J40" s="523"/>
    </row>
    <row r="41" spans="1:10" x14ac:dyDescent="0.2">
      <c r="A41" s="149"/>
      <c r="B41" s="1295" t="s">
        <v>1239</v>
      </c>
      <c r="C41" s="2402" t="e">
        <f t="shared" ref="C41:H41" ca="1" si="13">SUM(C38:C39)</f>
        <v>#NAME?</v>
      </c>
      <c r="D41" s="2477" t="e">
        <f t="shared" ca="1" si="13"/>
        <v>#NAME?</v>
      </c>
      <c r="E41" s="2477" t="e">
        <f t="shared" ca="1" si="13"/>
        <v>#NAME?</v>
      </c>
      <c r="F41" s="2477" t="e">
        <f t="shared" ca="1" si="13"/>
        <v>#NAME?</v>
      </c>
      <c r="G41" s="2477" t="e">
        <f t="shared" ca="1" si="13"/>
        <v>#NAME?</v>
      </c>
      <c r="H41" s="1320" t="e">
        <f t="shared" ca="1" si="13"/>
        <v>#NAME?</v>
      </c>
      <c r="I41" s="149"/>
    </row>
    <row r="42" spans="1:10" x14ac:dyDescent="0.2">
      <c r="A42" s="149"/>
      <c r="B42" s="1272"/>
      <c r="C42" s="149"/>
      <c r="D42" s="149"/>
      <c r="E42" s="149"/>
      <c r="F42" s="149"/>
      <c r="G42" s="149"/>
      <c r="H42" s="149"/>
      <c r="I42" s="149"/>
    </row>
    <row r="43" spans="1:10" ht="18" thickTop="1" thickBot="1" x14ac:dyDescent="0.25">
      <c r="B43" s="1391" t="s">
        <v>1240</v>
      </c>
      <c r="C43" s="1511"/>
      <c r="D43" s="1511"/>
      <c r="E43" s="1511"/>
      <c r="F43" s="1511"/>
      <c r="G43" s="1511"/>
      <c r="H43" s="1512"/>
    </row>
    <row r="44" spans="1:10" ht="17" thickTop="1" x14ac:dyDescent="0.2">
      <c r="B44" s="733" t="s">
        <v>1241</v>
      </c>
      <c r="C44" s="2479" t="s">
        <v>1167</v>
      </c>
      <c r="D44" s="2483" t="e">
        <f ca="1">-'Income Statement'!D14/'Income Statement'!D11</f>
        <v>#NAME?</v>
      </c>
      <c r="E44" s="2483" t="e">
        <f ca="1">-'Income Statement'!E14/'Income Statement'!E11</f>
        <v>#NAME?</v>
      </c>
      <c r="F44" s="2483" t="e">
        <f ca="1">-'Income Statement'!F14/'Income Statement'!F11</f>
        <v>#NAME?</v>
      </c>
      <c r="G44" s="2483" t="e">
        <f ca="1">-'Income Statement'!G14/'Income Statement'!G11</f>
        <v>#NAME?</v>
      </c>
      <c r="H44" s="1384" t="e">
        <f ca="1">-'Income Statement'!H14/'Income Statement'!H11</f>
        <v>#NAME?</v>
      </c>
    </row>
    <row r="45" spans="1:10" x14ac:dyDescent="0.2">
      <c r="B45" s="733" t="s">
        <v>1242</v>
      </c>
      <c r="C45" s="2480" t="s">
        <v>1167</v>
      </c>
      <c r="D45" s="2484" t="e">
        <f ca="1">'Income Statement'!D15/'Income Statement'!D11</f>
        <v>#NAME?</v>
      </c>
      <c r="E45" s="2484" t="e">
        <f ca="1">'Income Statement'!E15/'Income Statement'!E11</f>
        <v>#NAME?</v>
      </c>
      <c r="F45" s="2484" t="e">
        <f ca="1">'Income Statement'!F15/'Income Statement'!F11</f>
        <v>#NAME?</v>
      </c>
      <c r="G45" s="2484" t="e">
        <f ca="1">'Income Statement'!G15/'Income Statement'!G11</f>
        <v>#NAME?</v>
      </c>
      <c r="H45" s="1383" t="e">
        <f ca="1">'Income Statement'!H15/'Income Statement'!H11</f>
        <v>#NAME?</v>
      </c>
    </row>
    <row r="46" spans="1:10" x14ac:dyDescent="0.2">
      <c r="B46" s="733" t="s">
        <v>1243</v>
      </c>
      <c r="C46" s="2480" t="s">
        <v>1167</v>
      </c>
      <c r="D46" s="2485" t="e">
        <f ca="1">'Income Statement'!D33/'Income Statement'!D11</f>
        <v>#NAME?</v>
      </c>
      <c r="E46" s="2485" t="e">
        <f ca="1">'Income Statement'!E33/'Income Statement'!E11</f>
        <v>#NAME?</v>
      </c>
      <c r="F46" s="2485" t="e">
        <f ca="1">'Income Statement'!F33/'Income Statement'!F11</f>
        <v>#NAME?</v>
      </c>
      <c r="G46" s="2485" t="e">
        <f ca="1">'Income Statement'!G33/'Income Statement'!G11</f>
        <v>#NAME?</v>
      </c>
      <c r="H46" s="1384" t="e">
        <f ca="1">'Income Statement'!H33/'Income Statement'!H11</f>
        <v>#NAME?</v>
      </c>
    </row>
    <row r="47" spans="1:10" x14ac:dyDescent="0.2">
      <c r="B47" s="733" t="s">
        <v>1244</v>
      </c>
      <c r="C47" s="2481" t="s">
        <v>1167</v>
      </c>
      <c r="D47" s="2485" t="e">
        <f ca="1">-SUM('Income Statement'!D17:D20)/'Income Statement'!D11</f>
        <v>#NAME?</v>
      </c>
      <c r="E47" s="2485" t="e">
        <f ca="1">-SUM('Income Statement'!E17:E20)/'Income Statement'!E11</f>
        <v>#NAME?</v>
      </c>
      <c r="F47" s="2485" t="e">
        <f ca="1">-SUM('Income Statement'!F17:F20)/'Income Statement'!F11</f>
        <v>#NAME?</v>
      </c>
      <c r="G47" s="2485" t="e">
        <f ca="1">-SUM('Income Statement'!G17:G20)/'Income Statement'!G11</f>
        <v>#NAME?</v>
      </c>
      <c r="H47" s="1384" t="e">
        <f ca="1">-SUM('Income Statement'!H17:H20)/'Income Statement'!H11</f>
        <v>#NAME?</v>
      </c>
    </row>
    <row r="48" spans="1:10" x14ac:dyDescent="0.2">
      <c r="B48" s="734" t="s">
        <v>1245</v>
      </c>
      <c r="C48" s="2482" t="s">
        <v>1167</v>
      </c>
      <c r="D48" s="2486" t="e">
        <f ca="1">-'Income Statement'!D18/'Income Statement'!D11</f>
        <v>#NAME?</v>
      </c>
      <c r="E48" s="2486" t="e">
        <f ca="1">-'Income Statement'!E18/'Income Statement'!E11</f>
        <v>#NAME?</v>
      </c>
      <c r="F48" s="2486" t="e">
        <f ca="1">-'Income Statement'!F18/'Income Statement'!F11</f>
        <v>#NAME?</v>
      </c>
      <c r="G48" s="2486" t="e">
        <f ca="1">-'Income Statement'!G18/'Income Statement'!G11</f>
        <v>#NAME?</v>
      </c>
      <c r="H48" s="1385" t="e">
        <f ca="1">-'Income Statement'!H18/'Income Statement'!H11</f>
        <v>#NAME?</v>
      </c>
    </row>
    <row r="49" spans="2:2" x14ac:dyDescent="0.2">
      <c r="B49" s="2"/>
    </row>
    <row r="50" spans="2:2" x14ac:dyDescent="0.2">
      <c r="B50" s="2"/>
    </row>
    <row r="51" spans="2:2" x14ac:dyDescent="0.2">
      <c r="B51" s="2"/>
    </row>
    <row r="52" spans="2:2" x14ac:dyDescent="0.2">
      <c r="B52" s="2"/>
    </row>
    <row r="53" spans="2:2" x14ac:dyDescent="0.2">
      <c r="B53" s="2"/>
    </row>
    <row r="54" spans="2:2" x14ac:dyDescent="0.2">
      <c r="B54" s="2"/>
    </row>
    <row r="55" spans="2:2" x14ac:dyDescent="0.2">
      <c r="B55" s="2"/>
    </row>
  </sheetData>
  <mergeCells count="2">
    <mergeCell ref="B37:H37"/>
    <mergeCell ref="B10:H10"/>
  </mergeCells>
  <phoneticPr fontId="59" type="noConversion"/>
  <hyperlinks>
    <hyperlink ref="A1" location="INDEX!A1" display="Index"/>
  </hyperlink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B18"/>
  <sheetViews>
    <sheetView workbookViewId="0">
      <selection activeCell="K18" sqref="K18"/>
    </sheetView>
  </sheetViews>
  <sheetFormatPr baseColWidth="10" defaultColWidth="10.83203125" defaultRowHeight="16" x14ac:dyDescent="0.2"/>
  <cols>
    <col min="2" max="2" width="12.6640625" customWidth="1"/>
  </cols>
  <sheetData>
    <row r="1" spans="1:2" ht="17" thickBot="1" x14ac:dyDescent="0.25">
      <c r="A1" s="1" t="s">
        <v>38</v>
      </c>
    </row>
    <row r="2" spans="1:2" ht="17" thickBot="1" x14ac:dyDescent="0.25">
      <c r="A2" s="2654" t="s">
        <v>1493</v>
      </c>
      <c r="B2" s="2655"/>
    </row>
    <row r="3" spans="1:2" x14ac:dyDescent="0.2">
      <c r="A3" s="2656" t="s">
        <v>1480</v>
      </c>
      <c r="B3" s="2650">
        <v>-1429000</v>
      </c>
    </row>
    <row r="4" spans="1:2" x14ac:dyDescent="0.2">
      <c r="A4" s="2656" t="s">
        <v>1481</v>
      </c>
      <c r="B4" s="2650">
        <v>-5034683</v>
      </c>
    </row>
    <row r="5" spans="1:2" x14ac:dyDescent="0.2">
      <c r="A5" s="2656" t="s">
        <v>1482</v>
      </c>
      <c r="B5" s="2650">
        <v>2238974</v>
      </c>
    </row>
    <row r="6" spans="1:2" x14ac:dyDescent="0.2">
      <c r="A6" s="2656" t="s">
        <v>1483</v>
      </c>
      <c r="B6" s="2650">
        <v>1283315</v>
      </c>
    </row>
    <row r="7" spans="1:2" x14ac:dyDescent="0.2">
      <c r="A7" s="2656" t="s">
        <v>1378</v>
      </c>
      <c r="B7" s="2650">
        <v>-1405210</v>
      </c>
    </row>
    <row r="8" spans="1:2" x14ac:dyDescent="0.2">
      <c r="A8" s="2656" t="s">
        <v>1484</v>
      </c>
      <c r="B8" s="2650">
        <v>-3549721</v>
      </c>
    </row>
    <row r="9" spans="1:2" x14ac:dyDescent="0.2">
      <c r="A9" s="2656" t="s">
        <v>1485</v>
      </c>
      <c r="B9" s="2650">
        <v>-2322680</v>
      </c>
    </row>
    <row r="10" spans="1:2" x14ac:dyDescent="0.2">
      <c r="A10" s="2656" t="s">
        <v>1486</v>
      </c>
      <c r="B10" s="2650">
        <v>-553820</v>
      </c>
    </row>
    <row r="11" spans="1:2" x14ac:dyDescent="0.2">
      <c r="A11" s="2656" t="s">
        <v>1487</v>
      </c>
      <c r="B11" s="2650">
        <v>626920</v>
      </c>
    </row>
    <row r="12" spans="1:2" ht="17" thickBot="1" x14ac:dyDescent="0.25">
      <c r="A12" s="2657" t="s">
        <v>1488</v>
      </c>
      <c r="B12" s="2651">
        <f>1-87.1%</f>
        <v>0.129</v>
      </c>
    </row>
    <row r="18" spans="1:1" x14ac:dyDescent="0.2">
      <c r="A18" s="2609" t="s">
        <v>1495</v>
      </c>
    </row>
  </sheetData>
  <phoneticPr fontId="59" type="noConversion"/>
  <hyperlinks>
    <hyperlink ref="A1" location="Index!A1" display="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43"/>
  <sheetViews>
    <sheetView workbookViewId="0">
      <selection activeCell="G4" sqref="G4"/>
    </sheetView>
  </sheetViews>
  <sheetFormatPr baseColWidth="10" defaultColWidth="14.5" defaultRowHeight="16" x14ac:dyDescent="0.2"/>
  <cols>
    <col min="1" max="1" width="7.1640625" style="16" customWidth="1"/>
    <col min="2" max="2" width="33.5" style="16" customWidth="1"/>
    <col min="3" max="3" width="19.6640625" style="16" customWidth="1"/>
    <col min="4" max="4" width="18.1640625" style="16" customWidth="1"/>
    <col min="5" max="5" width="18.5" style="16" customWidth="1"/>
    <col min="6" max="6" width="19" style="16" customWidth="1"/>
    <col min="7" max="7" width="19.1640625" style="16" customWidth="1"/>
    <col min="8" max="8" width="2.5" style="16" customWidth="1"/>
    <col min="9" max="9" width="2.6640625" style="16" customWidth="1"/>
    <col min="10" max="10" width="24" style="16" customWidth="1"/>
    <col min="11" max="11" width="14.5" style="16"/>
    <col min="12" max="12" width="13.33203125" style="16" customWidth="1"/>
    <col min="13" max="14" width="13.1640625" style="16" customWidth="1"/>
    <col min="15" max="15" width="11.5" style="16" customWidth="1"/>
    <col min="16" max="16" width="12.1640625" style="16" customWidth="1"/>
    <col min="17" max="17" width="11.6640625" style="16" customWidth="1"/>
    <col min="18" max="18" width="11.5" style="16" customWidth="1"/>
    <col min="19" max="19" width="11.1640625" style="16" customWidth="1"/>
    <col min="20" max="20" width="12.1640625" style="16" customWidth="1"/>
    <col min="21" max="16384" width="14.5" style="16"/>
  </cols>
  <sheetData>
    <row r="1" spans="1:26" ht="17" thickBot="1" x14ac:dyDescent="0.25">
      <c r="A1" s="1771" t="s">
        <v>38</v>
      </c>
    </row>
    <row r="2" spans="1:26" x14ac:dyDescent="0.2">
      <c r="A2" s="1771"/>
      <c r="B2" s="2831" t="s">
        <v>1538</v>
      </c>
      <c r="C2" s="2832"/>
      <c r="D2" s="2832"/>
      <c r="E2" s="2832"/>
      <c r="F2" s="2832"/>
      <c r="G2" s="2833"/>
    </row>
    <row r="3" spans="1:26" ht="17" thickBot="1" x14ac:dyDescent="0.25">
      <c r="B3" s="2828" t="s">
        <v>1537</v>
      </c>
      <c r="C3" s="2829"/>
      <c r="D3" s="2829"/>
      <c r="E3" s="2829"/>
      <c r="F3" s="2829"/>
      <c r="G3" s="2830"/>
    </row>
    <row r="4" spans="1:26" x14ac:dyDescent="0.2">
      <c r="B4" s="2827"/>
      <c r="C4" s="2827"/>
      <c r="D4" s="2827"/>
      <c r="E4" s="2827"/>
      <c r="F4" s="2827"/>
    </row>
    <row r="5" spans="1:26" ht="16.5" customHeight="1" thickBot="1" x14ac:dyDescent="0.25">
      <c r="J5" s="2"/>
    </row>
    <row r="6" spans="1:26" ht="17.25" customHeight="1" thickBot="1" x14ac:dyDescent="0.25">
      <c r="B6" s="17" t="s">
        <v>714</v>
      </c>
      <c r="C6" s="18" t="s">
        <v>71</v>
      </c>
      <c r="D6" s="19" t="s">
        <v>72</v>
      </c>
      <c r="E6" s="19" t="s">
        <v>73</v>
      </c>
      <c r="F6" s="19" t="s">
        <v>74</v>
      </c>
      <c r="G6" s="20" t="s">
        <v>75</v>
      </c>
    </row>
    <row r="7" spans="1:26" x14ac:dyDescent="0.2">
      <c r="A7" s="21"/>
      <c r="B7" s="22" t="s">
        <v>715</v>
      </c>
      <c r="C7" s="23">
        <f>'IMC References'!C3</f>
        <v>8060000</v>
      </c>
      <c r="D7" s="24">
        <f>'IMC References'!D3</f>
        <v>8288285.9355566287</v>
      </c>
      <c r="E7" s="24">
        <f>'IMC References'!E3</f>
        <v>8519099.4789626393</v>
      </c>
      <c r="F7" s="24">
        <f>'IMC References'!F3</f>
        <v>8744113.0776918661</v>
      </c>
      <c r="G7" s="25">
        <f>'IMC References'!G3</f>
        <v>8958888.0618449114</v>
      </c>
      <c r="H7" s="21"/>
      <c r="U7" s="21"/>
      <c r="V7" s="21"/>
      <c r="W7" s="21"/>
      <c r="X7" s="21"/>
      <c r="Y7" s="21"/>
      <c r="Z7" s="21"/>
    </row>
    <row r="8" spans="1:26" x14ac:dyDescent="0.2">
      <c r="B8" s="26" t="s">
        <v>716</v>
      </c>
      <c r="C8" s="27">
        <f>'Avg.Weighted Manufacturer Price'!H9</f>
        <v>127</v>
      </c>
      <c r="D8" s="28">
        <f>'Avg.Weighted Manufacturer Price'!H16</f>
        <v>127</v>
      </c>
      <c r="E8" s="28">
        <f>'Avg.Weighted Manufacturer Price'!H25</f>
        <v>117</v>
      </c>
      <c r="F8" s="28">
        <f>'Avg.Weighted Manufacturer Price'!H34</f>
        <v>116.85714285714286</v>
      </c>
      <c r="G8" s="29">
        <f>'Avg.Weighted Manufacturer Price'!H43</f>
        <v>116.85714285714286</v>
      </c>
    </row>
    <row r="9" spans="1:26" x14ac:dyDescent="0.2">
      <c r="A9" s="30"/>
      <c r="B9" s="31" t="s">
        <v>717</v>
      </c>
      <c r="C9" s="2044" t="e">
        <f ca="1">'Purchase Intent and Price'!C13</f>
        <v>#NAME?</v>
      </c>
      <c r="D9" s="2045" t="e">
        <f ca="1">'Purchase Intent and Price'!D13</f>
        <v>#NAME?</v>
      </c>
      <c r="E9" s="2045" t="e">
        <f ca="1">'Purchase Intent and Price'!E13</f>
        <v>#NAME?</v>
      </c>
      <c r="F9" s="2045" t="e">
        <f ca="1">'Purchase Intent and Price'!F13</f>
        <v>#NAME?</v>
      </c>
      <c r="G9" s="2046" t="e">
        <f ca="1">'Purchase Intent and Price'!G13</f>
        <v>#NAME?</v>
      </c>
      <c r="H9" s="30"/>
      <c r="U9" s="30"/>
      <c r="V9" s="30"/>
      <c r="W9" s="30"/>
      <c r="X9" s="30"/>
      <c r="Y9" s="30"/>
      <c r="Z9" s="30"/>
    </row>
    <row r="10" spans="1:26" x14ac:dyDescent="0.2">
      <c r="B10" s="33" t="s">
        <v>718</v>
      </c>
      <c r="C10" s="2047">
        <f>'Purchase Intent and Price'!M6</f>
        <v>4.9599999999999998E-2</v>
      </c>
      <c r="D10" s="2047">
        <f>'Purchase Intent and Price'!M6</f>
        <v>4.9599999999999998E-2</v>
      </c>
      <c r="E10" s="2047">
        <f>'Purchase Intent and Price'!M6</f>
        <v>4.9599999999999998E-2</v>
      </c>
      <c r="F10" s="2047">
        <f>'Purchase Intent and Price'!M6</f>
        <v>4.9599999999999998E-2</v>
      </c>
      <c r="G10" s="2046">
        <f>'Purchase Intent and Price'!M6</f>
        <v>4.9599999999999998E-2</v>
      </c>
    </row>
    <row r="11" spans="1:26" x14ac:dyDescent="0.2">
      <c r="B11" s="33" t="s">
        <v>719</v>
      </c>
      <c r="C11" s="2047">
        <f>'IMC Schedules'!Q34</f>
        <v>8.5303516808770824E-2</v>
      </c>
      <c r="D11" s="2045">
        <f>'IMC Schedules'!AK36</f>
        <v>9.8104157902794184E-2</v>
      </c>
      <c r="E11" s="2048">
        <f>'IMC Schedules'!Q87</f>
        <v>0.17802463390733206</v>
      </c>
      <c r="F11" s="2045">
        <f>'IMC Schedules'!AK87</f>
        <v>0.1979471063871972</v>
      </c>
      <c r="G11" s="2049">
        <f>'IMC Schedules'!Q138</f>
        <v>0.19983862216751505</v>
      </c>
    </row>
    <row r="12" spans="1:26" x14ac:dyDescent="0.2">
      <c r="B12" s="34" t="s">
        <v>720</v>
      </c>
      <c r="C12" s="2050" t="e">
        <f ca="1">ACV!C14</f>
        <v>#NAME?</v>
      </c>
      <c r="D12" s="2051" t="e">
        <f ca="1">ACV!D14</f>
        <v>#NAME?</v>
      </c>
      <c r="E12" s="2051" t="e">
        <f ca="1">ACV!E14</f>
        <v>#NAME?</v>
      </c>
      <c r="F12" s="2051" t="e">
        <f ca="1">ACV!F14</f>
        <v>#NAME?</v>
      </c>
      <c r="G12" s="2052" t="e">
        <f ca="1">ACV!G14</f>
        <v>#NAME?</v>
      </c>
    </row>
    <row r="13" spans="1:26" x14ac:dyDescent="0.2">
      <c r="A13" s="30"/>
      <c r="B13" s="36" t="s">
        <v>721</v>
      </c>
      <c r="C13" s="37" t="e">
        <f ca="1">C7*(C9+C10)*C11*C12</f>
        <v>#NAME?</v>
      </c>
      <c r="D13" s="37" t="e">
        <f ca="1">D7*(D9+D10)*D11*D12</f>
        <v>#NAME?</v>
      </c>
      <c r="E13" s="37" t="e">
        <f ca="1">E7*(E9+E10)*E11*E12</f>
        <v>#NAME?</v>
      </c>
      <c r="F13" s="37" t="e">
        <f ca="1">F7*(F9+F10)*F11*F12</f>
        <v>#NAME?</v>
      </c>
      <c r="G13" s="38" t="e">
        <f ca="1">G7*(G9+G10)*G11*G12</f>
        <v>#NAME?</v>
      </c>
      <c r="H13" s="30"/>
      <c r="U13" s="30"/>
      <c r="V13" s="30"/>
      <c r="W13" s="30"/>
      <c r="X13" s="30"/>
      <c r="Y13" s="30"/>
      <c r="Z13" s="30"/>
    </row>
    <row r="14" spans="1:26" x14ac:dyDescent="0.2">
      <c r="B14" s="33" t="s">
        <v>722</v>
      </c>
      <c r="C14" s="39"/>
      <c r="D14" s="40"/>
      <c r="E14" s="40"/>
      <c r="F14" s="40"/>
      <c r="G14" s="41"/>
    </row>
    <row r="15" spans="1:26" x14ac:dyDescent="0.2">
      <c r="A15" s="30"/>
      <c r="B15" s="42" t="s">
        <v>723</v>
      </c>
      <c r="C15" s="37" t="e">
        <f ca="1">C13+C14</f>
        <v>#NAME?</v>
      </c>
      <c r="D15" s="37" t="e">
        <f ca="1">D13+D14</f>
        <v>#NAME?</v>
      </c>
      <c r="E15" s="37" t="e">
        <f ca="1">E13+E14</f>
        <v>#NAME?</v>
      </c>
      <c r="F15" s="37" t="e">
        <f ca="1">F13+F14</f>
        <v>#NAME?</v>
      </c>
      <c r="G15" s="38" t="e">
        <f ca="1">G13+G14</f>
        <v>#NAME?</v>
      </c>
      <c r="H15" s="30"/>
      <c r="U15" s="30"/>
      <c r="V15" s="30"/>
      <c r="W15" s="30"/>
      <c r="X15" s="30"/>
      <c r="Y15" s="30"/>
      <c r="Z15" s="30"/>
    </row>
    <row r="16" spans="1:26" x14ac:dyDescent="0.2">
      <c r="B16" s="33" t="s">
        <v>724</v>
      </c>
      <c r="C16" s="39">
        <f>'Avg.Weighted Manufacturer Price'!K41</f>
        <v>0</v>
      </c>
      <c r="D16" s="39">
        <f>'Avg.Weighted Manufacturer Price'!L41</f>
        <v>0</v>
      </c>
      <c r="E16" s="39">
        <f>'Avg.Weighted Manufacturer Price'!M41</f>
        <v>-7639.8464099131861</v>
      </c>
      <c r="F16" s="39">
        <f>'Avg.Weighted Manufacturer Price'!N41</f>
        <v>-11887.102044427886</v>
      </c>
      <c r="G16" s="43">
        <f>'Avg.Weighted Manufacturer Price'!O41</f>
        <v>-12608.982213630401</v>
      </c>
      <c r="I16" s="21"/>
    </row>
    <row r="17" spans="1:26" x14ac:dyDescent="0.2">
      <c r="A17" s="30"/>
      <c r="B17" s="42" t="s">
        <v>725</v>
      </c>
      <c r="C17" s="37" t="e">
        <f ca="1">SUM(C15:C16)</f>
        <v>#NAME?</v>
      </c>
      <c r="D17" s="37" t="e">
        <f ca="1">SUM(D15:D16)</f>
        <v>#NAME?</v>
      </c>
      <c r="E17" s="37" t="e">
        <f ca="1">SUM(E15:E16)</f>
        <v>#NAME?</v>
      </c>
      <c r="F17" s="37" t="e">
        <f ca="1">SUM(F15:F16)</f>
        <v>#NAME?</v>
      </c>
      <c r="G17" s="38" t="e">
        <f ca="1">SUM(G15:G16)</f>
        <v>#NAME?</v>
      </c>
      <c r="H17" s="30"/>
      <c r="U17" s="30"/>
      <c r="V17" s="30"/>
      <c r="W17" s="30"/>
      <c r="X17" s="30"/>
      <c r="Y17" s="30"/>
      <c r="Z17" s="30"/>
    </row>
    <row r="18" spans="1:26" ht="17" thickBot="1" x14ac:dyDescent="0.25">
      <c r="B18" s="34" t="s">
        <v>726</v>
      </c>
      <c r="C18" s="2039">
        <f>'Avg.Weighted Manufacturer Price'!F9</f>
        <v>80.561016949152545</v>
      </c>
      <c r="D18" s="2039">
        <f>'Avg.Weighted Manufacturer Price'!F16</f>
        <v>78.128888213851766</v>
      </c>
      <c r="E18" s="2040">
        <f>'Avg.Weighted Manufacturer Price'!F25</f>
        <v>77.474995001098407</v>
      </c>
      <c r="F18" s="2040">
        <f>'Avg.Weighted Manufacturer Price'!F34</f>
        <v>73.278874137354507</v>
      </c>
      <c r="G18" s="2041">
        <f>'Avg.Weighted Manufacturer Price'!F43</f>
        <v>72.87782346630911</v>
      </c>
      <c r="I18" s="30"/>
    </row>
    <row r="19" spans="1:26" ht="18" thickTop="1" thickBot="1" x14ac:dyDescent="0.25">
      <c r="B19" s="44" t="s">
        <v>727</v>
      </c>
      <c r="C19" s="2042" t="e">
        <f ca="1">C17*C18</f>
        <v>#NAME?</v>
      </c>
      <c r="D19" s="2042" t="e">
        <f ca="1">D17*D18</f>
        <v>#NAME?</v>
      </c>
      <c r="E19" s="2042" t="e">
        <f ca="1">E17*E18</f>
        <v>#NAME?</v>
      </c>
      <c r="F19" s="2042" t="e">
        <f ca="1">F17*F18</f>
        <v>#NAME?</v>
      </c>
      <c r="G19" s="2043" t="e">
        <f ca="1">G17*G18</f>
        <v>#NAME?</v>
      </c>
    </row>
    <row r="21" spans="1:26" ht="16.5" customHeight="1" thickBot="1" x14ac:dyDescent="0.25">
      <c r="B21" s="45" t="s">
        <v>728</v>
      </c>
      <c r="C21" s="46" t="s">
        <v>71</v>
      </c>
      <c r="D21" s="47" t="s">
        <v>72</v>
      </c>
      <c r="E21" s="47" t="s">
        <v>73</v>
      </c>
      <c r="F21" s="47" t="s">
        <v>74</v>
      </c>
      <c r="G21" s="48" t="s">
        <v>75</v>
      </c>
    </row>
    <row r="22" spans="1:26" ht="15.75" customHeight="1" x14ac:dyDescent="0.2">
      <c r="A22" s="21"/>
      <c r="B22" s="22" t="s">
        <v>729</v>
      </c>
      <c r="C22" s="23">
        <f>'IMC References'!C7</f>
        <v>12020000</v>
      </c>
      <c r="D22" s="24">
        <f>'IMC References'!D7</f>
        <v>12336998.865877114</v>
      </c>
      <c r="E22" s="24">
        <f>'IMC References'!E7</f>
        <v>12365192.677053036</v>
      </c>
      <c r="F22" s="24">
        <f>'IMC References'!F7</f>
        <v>12348150.765320711</v>
      </c>
      <c r="G22" s="25">
        <f>'IMC References'!G7</f>
        <v>12279462.670491993</v>
      </c>
      <c r="H22" s="21"/>
      <c r="I22" s="30"/>
      <c r="U22" s="21"/>
      <c r="V22" s="21"/>
      <c r="W22" s="21"/>
      <c r="X22" s="21"/>
      <c r="Y22" s="21"/>
      <c r="Z22" s="21"/>
    </row>
    <row r="23" spans="1:26" ht="14" customHeight="1" x14ac:dyDescent="0.2">
      <c r="B23" s="26" t="s">
        <v>716</v>
      </c>
      <c r="C23" s="49">
        <f>'Avg.Weighted Manufacturer Price'!H9</f>
        <v>127</v>
      </c>
      <c r="D23" s="28">
        <f>'Avg.Weighted Manufacturer Price'!H16</f>
        <v>127</v>
      </c>
      <c r="E23" s="28">
        <f>'Avg.Weighted Manufacturer Price'!H25</f>
        <v>117</v>
      </c>
      <c r="F23" s="28">
        <f>'Avg.Weighted Manufacturer Price'!H34</f>
        <v>116.85714285714286</v>
      </c>
      <c r="G23" s="29">
        <f>'Avg.Weighted Manufacturer Price'!H43</f>
        <v>116.85714285714286</v>
      </c>
    </row>
    <row r="24" spans="1:26" x14ac:dyDescent="0.2">
      <c r="A24" s="30"/>
      <c r="B24" s="31" t="s">
        <v>717</v>
      </c>
      <c r="C24" s="2044" t="e">
        <f ca="1">'Purchase Intent and Price'!C20</f>
        <v>#NAME?</v>
      </c>
      <c r="D24" s="2045" t="e">
        <f ca="1">'Purchase Intent and Price'!D20</f>
        <v>#NAME?</v>
      </c>
      <c r="E24" s="2045" t="e">
        <f ca="1">'Purchase Intent and Price'!E20</f>
        <v>#NAME?</v>
      </c>
      <c r="F24" s="2045" t="e">
        <f ca="1">'Purchase Intent and Price'!F20</f>
        <v>#NAME?</v>
      </c>
      <c r="G24" s="2046" t="e">
        <f ca="1">'Purchase Intent and Price'!G20</f>
        <v>#NAME?</v>
      </c>
      <c r="H24" s="30"/>
      <c r="I24" s="30"/>
      <c r="U24" s="30"/>
      <c r="V24" s="30"/>
      <c r="W24" s="30"/>
      <c r="X24" s="30"/>
      <c r="Y24" s="30"/>
      <c r="Z24" s="30"/>
    </row>
    <row r="25" spans="1:26" x14ac:dyDescent="0.2">
      <c r="B25" s="33" t="s">
        <v>718</v>
      </c>
      <c r="C25" s="2047">
        <f>'Purchase Intent and Price'!M7</f>
        <v>3.5799999999999998E-2</v>
      </c>
      <c r="D25" s="2047">
        <f>'Purchase Intent and Price'!M7</f>
        <v>3.5799999999999998E-2</v>
      </c>
      <c r="E25" s="2047">
        <f>'Purchase Intent and Price'!M7</f>
        <v>3.5799999999999998E-2</v>
      </c>
      <c r="F25" s="2047">
        <f>'Purchase Intent and Price'!M7</f>
        <v>3.5799999999999998E-2</v>
      </c>
      <c r="G25" s="2046">
        <f>'Purchase Intent and Price'!M7</f>
        <v>3.5799999999999998E-2</v>
      </c>
    </row>
    <row r="26" spans="1:26" x14ac:dyDescent="0.2">
      <c r="B26" s="33" t="s">
        <v>719</v>
      </c>
      <c r="C26" s="2047">
        <f>'IMC Schedules'!R34</f>
        <v>9.5177804118712808E-2</v>
      </c>
      <c r="D26" s="2045">
        <f>'IMC Schedules'!AL36</f>
        <v>0.11085572079898109</v>
      </c>
      <c r="E26" s="2048">
        <f>'IMC Schedules'!R87</f>
        <v>0.2033466309594022</v>
      </c>
      <c r="F26" s="2045">
        <f>'IMC Schedules'!AL87</f>
        <v>0.22364823052895494</v>
      </c>
      <c r="G26" s="2046">
        <f>'IMC Schedules'!R138</f>
        <v>0.22991665961871835</v>
      </c>
      <c r="I26" s="30"/>
    </row>
    <row r="27" spans="1:26" x14ac:dyDescent="0.2">
      <c r="B27" s="34" t="s">
        <v>720</v>
      </c>
      <c r="C27" s="2050" t="e">
        <f ca="1">ACV!C14</f>
        <v>#NAME?</v>
      </c>
      <c r="D27" s="2051" t="e">
        <f ca="1">ACV!D14</f>
        <v>#NAME?</v>
      </c>
      <c r="E27" s="2051" t="e">
        <f ca="1">ACV!E14</f>
        <v>#NAME?</v>
      </c>
      <c r="F27" s="2051" t="e">
        <f ca="1">ACV!F14</f>
        <v>#NAME?</v>
      </c>
      <c r="G27" s="2052" t="e">
        <f ca="1">ACV!G14</f>
        <v>#NAME?</v>
      </c>
    </row>
    <row r="28" spans="1:26" x14ac:dyDescent="0.2">
      <c r="A28" s="30"/>
      <c r="B28" s="36" t="s">
        <v>721</v>
      </c>
      <c r="C28" s="50" t="e">
        <f ca="1">C22*(C24+C25)*C26*C27</f>
        <v>#NAME?</v>
      </c>
      <c r="D28" s="50" t="e">
        <f ca="1">D22*(D24+D25)*D26*D27</f>
        <v>#NAME?</v>
      </c>
      <c r="E28" s="50" t="e">
        <f ca="1">E22*(E24+E25)*E26*E27</f>
        <v>#NAME?</v>
      </c>
      <c r="F28" s="50" t="e">
        <f ca="1">F22*(F24+F25)*F26*F27</f>
        <v>#NAME?</v>
      </c>
      <c r="G28" s="51" t="e">
        <f ca="1">G22*(G24+G25)*G26*G27</f>
        <v>#NAME?</v>
      </c>
      <c r="H28" s="30"/>
      <c r="U28" s="30"/>
      <c r="V28" s="30"/>
      <c r="W28" s="30"/>
      <c r="X28" s="30"/>
      <c r="Y28" s="30"/>
      <c r="Z28" s="30"/>
    </row>
    <row r="29" spans="1:26" x14ac:dyDescent="0.2">
      <c r="B29" s="33" t="s">
        <v>722</v>
      </c>
      <c r="C29" s="39"/>
      <c r="D29" s="40"/>
      <c r="E29" s="40"/>
      <c r="F29" s="40"/>
      <c r="G29" s="41"/>
    </row>
    <row r="30" spans="1:26" x14ac:dyDescent="0.2">
      <c r="A30" s="30"/>
      <c r="B30" s="42" t="s">
        <v>723</v>
      </c>
      <c r="C30" s="50" t="e">
        <f ca="1">C28</f>
        <v>#NAME?</v>
      </c>
      <c r="D30" s="50" t="e">
        <f ca="1">D28</f>
        <v>#NAME?</v>
      </c>
      <c r="E30" s="50" t="e">
        <f ca="1">E28</f>
        <v>#NAME?</v>
      </c>
      <c r="F30" s="50" t="e">
        <f ca="1">F28</f>
        <v>#NAME?</v>
      </c>
      <c r="G30" s="51" t="e">
        <f ca="1">G28</f>
        <v>#NAME?</v>
      </c>
      <c r="H30" s="30"/>
      <c r="I30" s="52"/>
      <c r="U30" s="30"/>
      <c r="V30" s="30"/>
      <c r="W30" s="30"/>
      <c r="X30" s="30"/>
      <c r="Y30" s="30"/>
      <c r="Z30" s="30"/>
    </row>
    <row r="31" spans="1:26" x14ac:dyDescent="0.2">
      <c r="B31" s="33" t="s">
        <v>724</v>
      </c>
      <c r="C31" s="39">
        <f>'Avg.Weighted Manufacturer Price'!K43</f>
        <v>0</v>
      </c>
      <c r="D31" s="39">
        <f>'Avg.Weighted Manufacturer Price'!L43</f>
        <v>0</v>
      </c>
      <c r="E31" s="39">
        <f>'Avg.Weighted Manufacturer Price'!M43</f>
        <v>-25899.565117924023</v>
      </c>
      <c r="F31" s="39">
        <f>'Avg.Weighted Manufacturer Price'!N43</f>
        <v>-38781.287546490894</v>
      </c>
      <c r="G31" s="43">
        <f>'Avg.Weighted Manufacturer Price'!O43</f>
        <v>-40657.443311877054</v>
      </c>
    </row>
    <row r="32" spans="1:26" x14ac:dyDescent="0.2">
      <c r="A32" s="30"/>
      <c r="B32" s="42" t="s">
        <v>725</v>
      </c>
      <c r="C32" s="50" t="e">
        <f ca="1">C30+C31</f>
        <v>#NAME?</v>
      </c>
      <c r="D32" s="50" t="e">
        <f ca="1">D30+D31</f>
        <v>#NAME?</v>
      </c>
      <c r="E32" s="50" t="e">
        <f ca="1">E30+E31</f>
        <v>#NAME?</v>
      </c>
      <c r="F32" s="50" t="e">
        <f ca="1">F30+F31</f>
        <v>#NAME?</v>
      </c>
      <c r="G32" s="51" t="e">
        <f ca="1">G30+G31</f>
        <v>#NAME?</v>
      </c>
      <c r="H32" s="30"/>
      <c r="U32" s="30"/>
      <c r="V32" s="30"/>
      <c r="W32" s="30"/>
      <c r="X32" s="30"/>
      <c r="Y32" s="30"/>
      <c r="Z32" s="30"/>
    </row>
    <row r="33" spans="1:25" ht="17" thickBot="1" x14ac:dyDescent="0.25">
      <c r="B33" s="34" t="s">
        <v>726</v>
      </c>
      <c r="C33" s="2039">
        <f>'Avg.Weighted Manufacturer Price'!F9</f>
        <v>80.561016949152545</v>
      </c>
      <c r="D33" s="2039">
        <f>'Avg.Weighted Manufacturer Price'!F16</f>
        <v>78.128888213851766</v>
      </c>
      <c r="E33" s="2040">
        <f>'Avg.Weighted Manufacturer Price'!F25</f>
        <v>77.474995001098407</v>
      </c>
      <c r="F33" s="2040">
        <f>'Avg.Weighted Manufacturer Price'!F34</f>
        <v>73.278874137354507</v>
      </c>
      <c r="G33" s="2041">
        <f>'Avg.Weighted Manufacturer Price'!F43</f>
        <v>72.87782346630911</v>
      </c>
    </row>
    <row r="34" spans="1:25" ht="18" thickTop="1" thickBot="1" x14ac:dyDescent="0.25">
      <c r="B34" s="44" t="s">
        <v>730</v>
      </c>
      <c r="C34" s="2053" t="e">
        <f ca="1">C33*C32</f>
        <v>#NAME?</v>
      </c>
      <c r="D34" s="2053" t="e">
        <f ca="1">D33*D32</f>
        <v>#NAME?</v>
      </c>
      <c r="E34" s="2053" t="e">
        <f ca="1">E33*E32</f>
        <v>#NAME?</v>
      </c>
      <c r="F34" s="2053" t="e">
        <f ca="1">F33*F32</f>
        <v>#NAME?</v>
      </c>
      <c r="G34" s="2054" t="e">
        <f ca="1">G33*G32</f>
        <v>#NAME?</v>
      </c>
    </row>
    <row r="36" spans="1:25" ht="15.75" customHeight="1" thickBot="1" x14ac:dyDescent="0.25">
      <c r="A36" s="52"/>
      <c r="B36" s="53" t="s">
        <v>731</v>
      </c>
      <c r="C36" s="54" t="s">
        <v>71</v>
      </c>
      <c r="D36" s="55" t="s">
        <v>72</v>
      </c>
      <c r="E36" s="55" t="s">
        <v>73</v>
      </c>
      <c r="F36" s="55" t="s">
        <v>74</v>
      </c>
      <c r="G36" s="56" t="s">
        <v>75</v>
      </c>
      <c r="H36" s="52"/>
      <c r="U36" s="52"/>
      <c r="V36" s="52"/>
      <c r="W36" s="52"/>
      <c r="X36" s="52"/>
      <c r="Y36" s="52"/>
    </row>
    <row r="37" spans="1:25" ht="15" customHeight="1" x14ac:dyDescent="0.2">
      <c r="B37" s="36" t="s">
        <v>721</v>
      </c>
      <c r="C37" s="57" t="e">
        <f ca="1">C13+C28</f>
        <v>#NAME?</v>
      </c>
      <c r="D37" s="57" t="e">
        <f ca="1">D13+D28</f>
        <v>#NAME?</v>
      </c>
      <c r="E37" s="57" t="e">
        <f ca="1">E13+E28</f>
        <v>#NAME?</v>
      </c>
      <c r="F37" s="57" t="e">
        <f ca="1">F13+F28</f>
        <v>#NAME?</v>
      </c>
      <c r="G37" s="58" t="e">
        <f ca="1">G13+G28</f>
        <v>#NAME?</v>
      </c>
      <c r="U37" s="52"/>
      <c r="V37" s="52"/>
      <c r="W37" s="52"/>
      <c r="X37" s="52"/>
      <c r="Y37" s="52"/>
    </row>
    <row r="38" spans="1:25" ht="15" customHeight="1" x14ac:dyDescent="0.2">
      <c r="B38" s="33" t="s">
        <v>722</v>
      </c>
      <c r="C38" s="39"/>
      <c r="D38" s="40"/>
      <c r="E38" s="40"/>
      <c r="F38" s="40"/>
      <c r="G38" s="41"/>
    </row>
    <row r="39" spans="1:25" ht="14.25" customHeight="1" x14ac:dyDescent="0.2">
      <c r="B39" s="42" t="s">
        <v>723</v>
      </c>
      <c r="C39" s="57" t="e">
        <f ca="1">C15+C30</f>
        <v>#NAME?</v>
      </c>
      <c r="D39" s="57" t="e">
        <f ca="1">D15+D30</f>
        <v>#NAME?</v>
      </c>
      <c r="E39" s="57" t="e">
        <f ca="1">E15+E30</f>
        <v>#NAME?</v>
      </c>
      <c r="F39" s="57" t="e">
        <f ca="1">F15+F30</f>
        <v>#NAME?</v>
      </c>
      <c r="G39" s="58" t="e">
        <f ca="1">G15+G30</f>
        <v>#NAME?</v>
      </c>
    </row>
    <row r="40" spans="1:25" x14ac:dyDescent="0.2">
      <c r="B40" s="33" t="s">
        <v>724</v>
      </c>
      <c r="C40" s="39">
        <f>'Avg.Weighted Manufacturer Price'!K45</f>
        <v>0</v>
      </c>
      <c r="D40" s="39">
        <f>'Avg.Weighted Manufacturer Price'!L45</f>
        <v>0</v>
      </c>
      <c r="E40" s="39">
        <f>'Avg.Weighted Manufacturer Price'!M45</f>
        <v>-33539.411527837212</v>
      </c>
      <c r="F40" s="39">
        <f>'Avg.Weighted Manufacturer Price'!N45</f>
        <v>-50668.389590918778</v>
      </c>
      <c r="G40" s="43">
        <f>'Avg.Weighted Manufacturer Price'!O45</f>
        <v>-53266.42552550746</v>
      </c>
    </row>
    <row r="41" spans="1:25" x14ac:dyDescent="0.2">
      <c r="B41" s="42" t="s">
        <v>725</v>
      </c>
      <c r="C41" s="2611" t="e">
        <f ca="1">ROUNDUP(C17+C32,0)*0.85</f>
        <v>#NAME?</v>
      </c>
      <c r="D41" s="2611" t="e">
        <f t="shared" ref="D41:G41" ca="1" si="0">ROUNDUP(D17+D32,0)*0.85</f>
        <v>#NAME?</v>
      </c>
      <c r="E41" s="2611" t="e">
        <f t="shared" ca="1" si="0"/>
        <v>#NAME?</v>
      </c>
      <c r="F41" s="2611" t="e">
        <f t="shared" ca="1" si="0"/>
        <v>#NAME?</v>
      </c>
      <c r="G41" s="2611" t="e">
        <f t="shared" ca="1" si="0"/>
        <v>#NAME?</v>
      </c>
    </row>
    <row r="42" spans="1:25" ht="17" thickBot="1" x14ac:dyDescent="0.25">
      <c r="B42" s="34" t="s">
        <v>732</v>
      </c>
      <c r="C42" s="2039">
        <f>'Avg.Weighted Manufacturer Price'!F9</f>
        <v>80.561016949152545</v>
      </c>
      <c r="D42" s="2039">
        <f>'Avg.Weighted Manufacturer Price'!F16</f>
        <v>78.128888213851766</v>
      </c>
      <c r="E42" s="2059">
        <f>'Avg.Weighted Manufacturer Price'!F25</f>
        <v>77.474995001098407</v>
      </c>
      <c r="F42" s="2040">
        <f>'Avg.Weighted Manufacturer Price'!F34</f>
        <v>73.278874137354507</v>
      </c>
      <c r="G42" s="2041">
        <f>'Avg.Weighted Manufacturer Price'!F43</f>
        <v>72.87782346630911</v>
      </c>
    </row>
    <row r="43" spans="1:25" ht="18" thickTop="1" thickBot="1" x14ac:dyDescent="0.25">
      <c r="B43" s="44" t="s">
        <v>733</v>
      </c>
      <c r="C43" s="2060" t="e">
        <f ca="1">C42*C41</f>
        <v>#NAME?</v>
      </c>
      <c r="D43" s="2060" t="e">
        <f ca="1">D42*D41</f>
        <v>#NAME?</v>
      </c>
      <c r="E43" s="2060" t="e">
        <f ca="1">E42*E41</f>
        <v>#NAME?</v>
      </c>
      <c r="F43" s="2060" t="e">
        <f ca="1">F42*F41</f>
        <v>#NAME?</v>
      </c>
      <c r="G43" s="2061" t="e">
        <f ca="1">G42*G41</f>
        <v>#NAME?</v>
      </c>
    </row>
  </sheetData>
  <mergeCells count="3">
    <mergeCell ref="B4:F4"/>
    <mergeCell ref="B3:G3"/>
    <mergeCell ref="B2:G2"/>
  </mergeCells>
  <phoneticPr fontId="59" type="noConversion"/>
  <hyperlinks>
    <hyperlink ref="A1" location="index!A1" display="Index"/>
  </hyperlinks>
  <pageMargins left="0.7" right="0.7" top="0.75" bottom="0.75" header="0.3" footer="0.3"/>
  <pageSetup paperSize="9"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B19"/>
  <sheetViews>
    <sheetView workbookViewId="0">
      <selection activeCell="J14" sqref="J14"/>
    </sheetView>
  </sheetViews>
  <sheetFormatPr baseColWidth="10" defaultColWidth="10.83203125" defaultRowHeight="16" x14ac:dyDescent="0.2"/>
  <cols>
    <col min="2" max="2" width="12.83203125" customWidth="1"/>
  </cols>
  <sheetData>
    <row r="1" spans="1:2" ht="17" thickBot="1" x14ac:dyDescent="0.25">
      <c r="A1" s="1" t="s">
        <v>38</v>
      </c>
    </row>
    <row r="2" spans="1:2" ht="17" thickBot="1" x14ac:dyDescent="0.25">
      <c r="A2" s="2659" t="s">
        <v>1493</v>
      </c>
      <c r="B2" s="2655"/>
    </row>
    <row r="3" spans="1:2" x14ac:dyDescent="0.2">
      <c r="A3" s="2656" t="s">
        <v>1480</v>
      </c>
      <c r="B3" s="2650">
        <v>122430</v>
      </c>
    </row>
    <row r="4" spans="1:2" x14ac:dyDescent="0.2">
      <c r="A4" s="2656" t="s">
        <v>1481</v>
      </c>
      <c r="B4" s="2650">
        <v>-3795876</v>
      </c>
    </row>
    <row r="5" spans="1:2" x14ac:dyDescent="0.2">
      <c r="A5" s="2656" t="s">
        <v>1482</v>
      </c>
      <c r="B5" s="2650">
        <v>4267434</v>
      </c>
    </row>
    <row r="6" spans="1:2" x14ac:dyDescent="0.2">
      <c r="A6" s="2656" t="s">
        <v>1483</v>
      </c>
      <c r="B6" s="2650">
        <v>1290167</v>
      </c>
    </row>
    <row r="7" spans="1:2" x14ac:dyDescent="0.2">
      <c r="A7" s="2656" t="s">
        <v>1378</v>
      </c>
      <c r="B7" s="2650">
        <v>129781</v>
      </c>
    </row>
    <row r="8" spans="1:2" x14ac:dyDescent="0.2">
      <c r="A8" s="2656" t="s">
        <v>1484</v>
      </c>
      <c r="B8" s="2650">
        <v>-1999332</v>
      </c>
    </row>
    <row r="9" spans="1:2" x14ac:dyDescent="0.2">
      <c r="A9" s="2656" t="s">
        <v>1485</v>
      </c>
      <c r="B9" s="2650">
        <v>-733360</v>
      </c>
    </row>
    <row r="10" spans="1:2" x14ac:dyDescent="0.2">
      <c r="A10" s="2656" t="s">
        <v>1486</v>
      </c>
      <c r="B10" s="2650">
        <v>992460</v>
      </c>
    </row>
    <row r="11" spans="1:2" x14ac:dyDescent="0.2">
      <c r="A11" s="2656" t="s">
        <v>1487</v>
      </c>
      <c r="B11" s="2650">
        <v>2207473</v>
      </c>
    </row>
    <row r="12" spans="1:2" ht="17" thickBot="1" x14ac:dyDescent="0.25">
      <c r="A12" s="2657" t="s">
        <v>1488</v>
      </c>
      <c r="B12" s="2651">
        <f>1-46.8%</f>
        <v>0.53200000000000003</v>
      </c>
    </row>
    <row r="19" spans="1:1" x14ac:dyDescent="0.2">
      <c r="A19" s="2609" t="s">
        <v>1494</v>
      </c>
    </row>
  </sheetData>
  <phoneticPr fontId="59" type="noConversion"/>
  <hyperlinks>
    <hyperlink ref="A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41"/>
  <sheetViews>
    <sheetView workbookViewId="0">
      <selection activeCell="I15" sqref="I15"/>
    </sheetView>
  </sheetViews>
  <sheetFormatPr baseColWidth="10" defaultColWidth="14.5" defaultRowHeight="16" x14ac:dyDescent="0.2"/>
  <cols>
    <col min="1" max="1" width="7.1640625" style="16" customWidth="1"/>
    <col min="2" max="2" width="33.5" style="16" customWidth="1"/>
    <col min="3" max="3" width="19.6640625" style="16" customWidth="1"/>
    <col min="4" max="4" width="18.1640625" style="16" customWidth="1"/>
    <col min="5" max="5" width="18.5" style="16" customWidth="1"/>
    <col min="6" max="6" width="19" style="16" customWidth="1"/>
    <col min="7" max="7" width="19.1640625" style="16" customWidth="1"/>
    <col min="8" max="8" width="2.5" style="16" customWidth="1"/>
    <col min="9" max="9" width="2.6640625" style="16" customWidth="1"/>
    <col min="10" max="10" width="24" style="16" customWidth="1"/>
    <col min="11" max="11" width="14.5" style="16"/>
    <col min="12" max="12" width="13.33203125" style="16" customWidth="1"/>
    <col min="13" max="14" width="13.1640625" style="16" customWidth="1"/>
    <col min="15" max="15" width="11.5" style="16" customWidth="1"/>
    <col min="16" max="16" width="12.1640625" style="16" customWidth="1"/>
    <col min="17" max="17" width="11.6640625" style="16" customWidth="1"/>
    <col min="18" max="18" width="11.5" style="16" customWidth="1"/>
    <col min="19" max="19" width="11.1640625" style="16" customWidth="1"/>
    <col min="20" max="20" width="12.1640625" style="16" customWidth="1"/>
    <col min="21" max="16384" width="14.5" style="16"/>
  </cols>
  <sheetData>
    <row r="1" spans="1:26" ht="17" thickBot="1" x14ac:dyDescent="0.25">
      <c r="A1" s="1771" t="s">
        <v>38</v>
      </c>
    </row>
    <row r="2" spans="1:26" ht="17" thickBot="1" x14ac:dyDescent="0.25">
      <c r="B2" s="2731" t="s">
        <v>1527</v>
      </c>
      <c r="C2" s="2732"/>
      <c r="D2" s="2732"/>
      <c r="E2" s="2732"/>
      <c r="F2" s="2732"/>
      <c r="G2" s="2733"/>
    </row>
    <row r="3" spans="1:26" ht="16.5" customHeight="1" thickBot="1" x14ac:dyDescent="0.25">
      <c r="J3" s="2"/>
    </row>
    <row r="4" spans="1:26" ht="17.25" customHeight="1" thickBot="1" x14ac:dyDescent="0.25">
      <c r="B4" s="17" t="s">
        <v>714</v>
      </c>
      <c r="C4" s="18" t="s">
        <v>71</v>
      </c>
      <c r="D4" s="19" t="s">
        <v>72</v>
      </c>
      <c r="E4" s="19" t="s">
        <v>73</v>
      </c>
      <c r="F4" s="19" t="s">
        <v>74</v>
      </c>
      <c r="G4" s="20" t="s">
        <v>75</v>
      </c>
    </row>
    <row r="5" spans="1:26" x14ac:dyDescent="0.2">
      <c r="A5" s="21"/>
      <c r="B5" s="22" t="s">
        <v>715</v>
      </c>
      <c r="C5" s="23">
        <f>'IMC References'!C3</f>
        <v>8060000</v>
      </c>
      <c r="D5" s="24">
        <f>'IMC References'!D3</f>
        <v>8288285.9355566287</v>
      </c>
      <c r="E5" s="24">
        <f>'IMC References'!E3</f>
        <v>8519099.4789626393</v>
      </c>
      <c r="F5" s="24">
        <f>'IMC References'!F3</f>
        <v>8744113.0776918661</v>
      </c>
      <c r="G5" s="25">
        <f>'IMC References'!G3</f>
        <v>8958888.0618449114</v>
      </c>
      <c r="H5" s="21"/>
      <c r="U5" s="21"/>
      <c r="V5" s="21"/>
      <c r="W5" s="21"/>
      <c r="X5" s="21"/>
      <c r="Y5" s="21"/>
      <c r="Z5" s="21"/>
    </row>
    <row r="6" spans="1:26" x14ac:dyDescent="0.2">
      <c r="B6" s="26" t="s">
        <v>716</v>
      </c>
      <c r="C6" s="27">
        <f>'Avg.Weighted Manufacturer Price'!H9</f>
        <v>127</v>
      </c>
      <c r="D6" s="28">
        <f>'Avg.Weighted Manufacturer Price'!H16</f>
        <v>127</v>
      </c>
      <c r="E6" s="28">
        <f>'Avg.Weighted Manufacturer Price'!H25</f>
        <v>117</v>
      </c>
      <c r="F6" s="28">
        <f>'Avg.Weighted Manufacturer Price'!H34</f>
        <v>116.85714285714286</v>
      </c>
      <c r="G6" s="29">
        <f>'Avg.Weighted Manufacturer Price'!H43</f>
        <v>116.85714285714286</v>
      </c>
    </row>
    <row r="7" spans="1:26" x14ac:dyDescent="0.2">
      <c r="A7" s="30"/>
      <c r="B7" s="31" t="s">
        <v>717</v>
      </c>
      <c r="C7" s="2044" t="e">
        <f ca="1">'Purchase Intent and Price'!C13</f>
        <v>#NAME?</v>
      </c>
      <c r="D7" s="2045" t="e">
        <f ca="1">'Purchase Intent and Price'!D13</f>
        <v>#NAME?</v>
      </c>
      <c r="E7" s="2045" t="e">
        <f ca="1">'Purchase Intent and Price'!E13</f>
        <v>#NAME?</v>
      </c>
      <c r="F7" s="2045" t="e">
        <f ca="1">'Purchase Intent and Price'!F13</f>
        <v>#NAME?</v>
      </c>
      <c r="G7" s="2046" t="e">
        <f ca="1">'Purchase Intent and Price'!G13</f>
        <v>#NAME?</v>
      </c>
      <c r="H7" s="30"/>
      <c r="U7" s="30"/>
      <c r="V7" s="30"/>
      <c r="W7" s="30"/>
      <c r="X7" s="30"/>
      <c r="Y7" s="30"/>
      <c r="Z7" s="30"/>
    </row>
    <row r="8" spans="1:26" x14ac:dyDescent="0.2">
      <c r="B8" s="33" t="s">
        <v>718</v>
      </c>
      <c r="C8" s="2047">
        <f>'Purchase Intent and Price'!M6</f>
        <v>4.9599999999999998E-2</v>
      </c>
      <c r="D8" s="2047">
        <f>'Purchase Intent and Price'!M6</f>
        <v>4.9599999999999998E-2</v>
      </c>
      <c r="E8" s="2047">
        <f>'Purchase Intent and Price'!M6</f>
        <v>4.9599999999999998E-2</v>
      </c>
      <c r="F8" s="2047">
        <f>'Purchase Intent and Price'!M6</f>
        <v>4.9599999999999998E-2</v>
      </c>
      <c r="G8" s="2046">
        <f>'Purchase Intent and Price'!M6</f>
        <v>4.9599999999999998E-2</v>
      </c>
    </row>
    <row r="9" spans="1:26" x14ac:dyDescent="0.2">
      <c r="B9" s="33" t="s">
        <v>719</v>
      </c>
      <c r="C9" s="2047">
        <f>'IMC Schedules'!Q34</f>
        <v>8.5303516808770824E-2</v>
      </c>
      <c r="D9" s="2045">
        <f>'IMC Schedules'!AK36</f>
        <v>9.8104157902794184E-2</v>
      </c>
      <c r="E9" s="2048">
        <f>'IMC Schedules'!Q87</f>
        <v>0.17802463390733206</v>
      </c>
      <c r="F9" s="2045">
        <f>'IMC Schedules'!AK87</f>
        <v>0.1979471063871972</v>
      </c>
      <c r="G9" s="2049">
        <f>'IMC Schedules'!Q138</f>
        <v>0.19983862216751505</v>
      </c>
    </row>
    <row r="10" spans="1:26" x14ac:dyDescent="0.2">
      <c r="B10" s="34" t="s">
        <v>720</v>
      </c>
      <c r="C10" s="2050" t="e">
        <f ca="1">ACV!C14</f>
        <v>#NAME?</v>
      </c>
      <c r="D10" s="2051" t="e">
        <f ca="1">ACV!D14</f>
        <v>#NAME?</v>
      </c>
      <c r="E10" s="2051" t="e">
        <f ca="1">ACV!E14</f>
        <v>#NAME?</v>
      </c>
      <c r="F10" s="2051" t="e">
        <f ca="1">ACV!F14</f>
        <v>#NAME?</v>
      </c>
      <c r="G10" s="2052" t="e">
        <f ca="1">ACV!G14</f>
        <v>#NAME?</v>
      </c>
    </row>
    <row r="11" spans="1:26" x14ac:dyDescent="0.2">
      <c r="A11" s="30"/>
      <c r="B11" s="36" t="s">
        <v>721</v>
      </c>
      <c r="C11" s="37" t="e">
        <f ca="1">C5*(C7+C8)*C9*C10</f>
        <v>#NAME?</v>
      </c>
      <c r="D11" s="37" t="e">
        <f ca="1">D5*(D7+D8)*D9*D10</f>
        <v>#NAME?</v>
      </c>
      <c r="E11" s="37" t="e">
        <f ca="1">E5*(E7+E8)*E9*E10</f>
        <v>#NAME?</v>
      </c>
      <c r="F11" s="37" t="e">
        <f ca="1">F5*(F7+F8)*F9*F10</f>
        <v>#NAME?</v>
      </c>
      <c r="G11" s="38" t="e">
        <f ca="1">G5*(G7+G8)*G9*G10</f>
        <v>#NAME?</v>
      </c>
      <c r="H11" s="30"/>
      <c r="U11" s="30"/>
      <c r="V11" s="30"/>
      <c r="W11" s="30"/>
      <c r="X11" s="30"/>
      <c r="Y11" s="30"/>
      <c r="Z11" s="30"/>
    </row>
    <row r="12" spans="1:26" x14ac:dyDescent="0.2">
      <c r="B12" s="33" t="s">
        <v>722</v>
      </c>
      <c r="C12" s="39"/>
      <c r="D12" s="40"/>
      <c r="E12" s="40"/>
      <c r="F12" s="40"/>
      <c r="G12" s="41"/>
    </row>
    <row r="13" spans="1:26" x14ac:dyDescent="0.2">
      <c r="A13" s="30"/>
      <c r="B13" s="42" t="s">
        <v>723</v>
      </c>
      <c r="C13" s="37" t="e">
        <f ca="1">C11+C12</f>
        <v>#NAME?</v>
      </c>
      <c r="D13" s="37" t="e">
        <f ca="1">D11+D12</f>
        <v>#NAME?</v>
      </c>
      <c r="E13" s="37" t="e">
        <f ca="1">E11+E12</f>
        <v>#NAME?</v>
      </c>
      <c r="F13" s="37" t="e">
        <f ca="1">F11+F12</f>
        <v>#NAME?</v>
      </c>
      <c r="G13" s="38" t="e">
        <f ca="1">G11+G12</f>
        <v>#NAME?</v>
      </c>
      <c r="H13" s="30"/>
      <c r="U13" s="30"/>
      <c r="V13" s="30"/>
      <c r="W13" s="30"/>
      <c r="X13" s="30"/>
      <c r="Y13" s="30"/>
      <c r="Z13" s="30"/>
    </row>
    <row r="14" spans="1:26" x14ac:dyDescent="0.2">
      <c r="B14" s="33" t="s">
        <v>724</v>
      </c>
      <c r="C14" s="39">
        <f>'Avg.Weighted Manufacturer Price'!K41</f>
        <v>0</v>
      </c>
      <c r="D14" s="39">
        <f>'Avg.Weighted Manufacturer Price'!L41</f>
        <v>0</v>
      </c>
      <c r="E14" s="39">
        <f>'Avg.Weighted Manufacturer Price'!M41</f>
        <v>-7639.8464099131861</v>
      </c>
      <c r="F14" s="39">
        <f>'Avg.Weighted Manufacturer Price'!N41</f>
        <v>-11887.102044427886</v>
      </c>
      <c r="G14" s="43">
        <f>'Avg.Weighted Manufacturer Price'!O41</f>
        <v>-12608.982213630401</v>
      </c>
      <c r="I14" s="21"/>
    </row>
    <row r="15" spans="1:26" x14ac:dyDescent="0.2">
      <c r="A15" s="30"/>
      <c r="B15" s="42" t="s">
        <v>725</v>
      </c>
      <c r="C15" s="37" t="e">
        <f ca="1">SUM(C13:C14)</f>
        <v>#NAME?</v>
      </c>
      <c r="D15" s="37" t="e">
        <f ca="1">SUM(D13:D14)</f>
        <v>#NAME?</v>
      </c>
      <c r="E15" s="37" t="e">
        <f ca="1">SUM(E13:E14)</f>
        <v>#NAME?</v>
      </c>
      <c r="F15" s="37" t="e">
        <f ca="1">SUM(F13:F14)</f>
        <v>#NAME?</v>
      </c>
      <c r="G15" s="38" t="e">
        <f ca="1">SUM(G13:G14)</f>
        <v>#NAME?</v>
      </c>
      <c r="H15" s="30"/>
      <c r="U15" s="30"/>
      <c r="V15" s="30"/>
      <c r="W15" s="30"/>
      <c r="X15" s="30"/>
      <c r="Y15" s="30"/>
      <c r="Z15" s="30"/>
    </row>
    <row r="16" spans="1:26" ht="17" thickBot="1" x14ac:dyDescent="0.25">
      <c r="B16" s="34" t="s">
        <v>726</v>
      </c>
      <c r="C16" s="2039">
        <f>'Avg.Weighted Manufacturer Price'!F9</f>
        <v>80.561016949152545</v>
      </c>
      <c r="D16" s="2039">
        <f>'Avg.Weighted Manufacturer Price'!F16</f>
        <v>78.128888213851766</v>
      </c>
      <c r="E16" s="2040">
        <f>'Avg.Weighted Manufacturer Price'!F25</f>
        <v>77.474995001098407</v>
      </c>
      <c r="F16" s="2040">
        <f>'Avg.Weighted Manufacturer Price'!F34</f>
        <v>73.278874137354507</v>
      </c>
      <c r="G16" s="2041">
        <f>'Avg.Weighted Manufacturer Price'!F43</f>
        <v>72.87782346630911</v>
      </c>
      <c r="I16" s="30"/>
    </row>
    <row r="17" spans="1:26" ht="18" thickTop="1" thickBot="1" x14ac:dyDescent="0.25">
      <c r="B17" s="44" t="s">
        <v>727</v>
      </c>
      <c r="C17" s="2042" t="e">
        <f ca="1">C15*C16</f>
        <v>#NAME?</v>
      </c>
      <c r="D17" s="2042" t="e">
        <f ca="1">D15*D16</f>
        <v>#NAME?</v>
      </c>
      <c r="E17" s="2042" t="e">
        <f ca="1">E15*E16</f>
        <v>#NAME?</v>
      </c>
      <c r="F17" s="2042" t="e">
        <f ca="1">F15*F16</f>
        <v>#NAME?</v>
      </c>
      <c r="G17" s="2043" t="e">
        <f ca="1">G15*G16</f>
        <v>#NAME?</v>
      </c>
    </row>
    <row r="19" spans="1:26" ht="16.5" customHeight="1" thickBot="1" x14ac:dyDescent="0.25">
      <c r="B19" s="45" t="s">
        <v>728</v>
      </c>
      <c r="C19" s="46" t="s">
        <v>71</v>
      </c>
      <c r="D19" s="47" t="s">
        <v>72</v>
      </c>
      <c r="E19" s="47" t="s">
        <v>73</v>
      </c>
      <c r="F19" s="47" t="s">
        <v>74</v>
      </c>
      <c r="G19" s="48" t="s">
        <v>75</v>
      </c>
    </row>
    <row r="20" spans="1:26" ht="15.75" customHeight="1" x14ac:dyDescent="0.2">
      <c r="A20" s="21"/>
      <c r="B20" s="22" t="s">
        <v>729</v>
      </c>
      <c r="C20" s="23">
        <f>'IMC References'!C7</f>
        <v>12020000</v>
      </c>
      <c r="D20" s="24">
        <f>'IMC References'!D7</f>
        <v>12336998.865877114</v>
      </c>
      <c r="E20" s="24">
        <f>'IMC References'!E7</f>
        <v>12365192.677053036</v>
      </c>
      <c r="F20" s="24">
        <f>'IMC References'!F7</f>
        <v>12348150.765320711</v>
      </c>
      <c r="G20" s="25">
        <f>'IMC References'!G7</f>
        <v>12279462.670491993</v>
      </c>
      <c r="H20" s="21"/>
      <c r="I20" s="30"/>
      <c r="U20" s="21"/>
      <c r="V20" s="21"/>
      <c r="W20" s="21"/>
      <c r="X20" s="21"/>
      <c r="Y20" s="21"/>
      <c r="Z20" s="21"/>
    </row>
    <row r="21" spans="1:26" ht="14" customHeight="1" x14ac:dyDescent="0.2">
      <c r="B21" s="26" t="s">
        <v>716</v>
      </c>
      <c r="C21" s="49">
        <f>'Avg.Weighted Manufacturer Price'!H9</f>
        <v>127</v>
      </c>
      <c r="D21" s="28">
        <f>'Avg.Weighted Manufacturer Price'!H16</f>
        <v>127</v>
      </c>
      <c r="E21" s="28">
        <f>'Avg.Weighted Manufacturer Price'!H25</f>
        <v>117</v>
      </c>
      <c r="F21" s="28">
        <f>'Avg.Weighted Manufacturer Price'!H34</f>
        <v>116.85714285714286</v>
      </c>
      <c r="G21" s="29">
        <f>'Avg.Weighted Manufacturer Price'!H43</f>
        <v>116.85714285714286</v>
      </c>
    </row>
    <row r="22" spans="1:26" x14ac:dyDescent="0.2">
      <c r="A22" s="30"/>
      <c r="B22" s="31" t="s">
        <v>717</v>
      </c>
      <c r="C22" s="2044" t="e">
        <f ca="1">'Purchase Intent and Price'!C20</f>
        <v>#NAME?</v>
      </c>
      <c r="D22" s="2045" t="e">
        <f ca="1">'Purchase Intent and Price'!D20</f>
        <v>#NAME?</v>
      </c>
      <c r="E22" s="2045" t="e">
        <f ca="1">'Purchase Intent and Price'!E20</f>
        <v>#NAME?</v>
      </c>
      <c r="F22" s="2045" t="e">
        <f ca="1">'Purchase Intent and Price'!F20</f>
        <v>#NAME?</v>
      </c>
      <c r="G22" s="2046" t="e">
        <f ca="1">'Purchase Intent and Price'!G20</f>
        <v>#NAME?</v>
      </c>
      <c r="H22" s="30"/>
      <c r="I22" s="30"/>
      <c r="U22" s="30"/>
      <c r="V22" s="30"/>
      <c r="W22" s="30"/>
      <c r="X22" s="30"/>
      <c r="Y22" s="30"/>
      <c r="Z22" s="30"/>
    </row>
    <row r="23" spans="1:26" x14ac:dyDescent="0.2">
      <c r="B23" s="33" t="s">
        <v>718</v>
      </c>
      <c r="C23" s="2047">
        <f>'Purchase Intent and Price'!M7</f>
        <v>3.5799999999999998E-2</v>
      </c>
      <c r="D23" s="2047">
        <f>'Purchase Intent and Price'!M7</f>
        <v>3.5799999999999998E-2</v>
      </c>
      <c r="E23" s="2047">
        <f>'Purchase Intent and Price'!M7</f>
        <v>3.5799999999999998E-2</v>
      </c>
      <c r="F23" s="2047">
        <f>'Purchase Intent and Price'!M7</f>
        <v>3.5799999999999998E-2</v>
      </c>
      <c r="G23" s="2046">
        <f>'Purchase Intent and Price'!M7</f>
        <v>3.5799999999999998E-2</v>
      </c>
    </row>
    <row r="24" spans="1:26" x14ac:dyDescent="0.2">
      <c r="B24" s="33" t="s">
        <v>719</v>
      </c>
      <c r="C24" s="2047">
        <f>'IMC Schedules'!R34</f>
        <v>9.5177804118712808E-2</v>
      </c>
      <c r="D24" s="2045">
        <f>'IMC Schedules'!AL36</f>
        <v>0.11085572079898109</v>
      </c>
      <c r="E24" s="2048">
        <f>'IMC Schedules'!R87</f>
        <v>0.2033466309594022</v>
      </c>
      <c r="F24" s="2045">
        <f>'IMC Schedules'!AL87</f>
        <v>0.22364823052895494</v>
      </c>
      <c r="G24" s="2046">
        <f>'IMC Schedules'!R138</f>
        <v>0.22991665961871835</v>
      </c>
      <c r="I24" s="30"/>
    </row>
    <row r="25" spans="1:26" x14ac:dyDescent="0.2">
      <c r="B25" s="34" t="s">
        <v>720</v>
      </c>
      <c r="C25" s="2050" t="e">
        <f ca="1">ACV!C14</f>
        <v>#NAME?</v>
      </c>
      <c r="D25" s="2051" t="e">
        <f ca="1">ACV!D14</f>
        <v>#NAME?</v>
      </c>
      <c r="E25" s="2051" t="e">
        <f ca="1">ACV!E14</f>
        <v>#NAME?</v>
      </c>
      <c r="F25" s="2051" t="e">
        <f ca="1">ACV!F14</f>
        <v>#NAME?</v>
      </c>
      <c r="G25" s="2052" t="e">
        <f ca="1">ACV!G14</f>
        <v>#NAME?</v>
      </c>
    </row>
    <row r="26" spans="1:26" x14ac:dyDescent="0.2">
      <c r="A26" s="30"/>
      <c r="B26" s="36" t="s">
        <v>721</v>
      </c>
      <c r="C26" s="50" t="e">
        <f ca="1">C20*(C22+C23)*C24*C25</f>
        <v>#NAME?</v>
      </c>
      <c r="D26" s="50" t="e">
        <f ca="1">D20*(D22+D23)*D24*D25</f>
        <v>#NAME?</v>
      </c>
      <c r="E26" s="50" t="e">
        <f ca="1">E20*(E22+E23)*E24*E25</f>
        <v>#NAME?</v>
      </c>
      <c r="F26" s="50" t="e">
        <f ca="1">F20*(F22+F23)*F24*F25</f>
        <v>#NAME?</v>
      </c>
      <c r="G26" s="51" t="e">
        <f ca="1">G20*(G22+G23)*G24*G25</f>
        <v>#NAME?</v>
      </c>
      <c r="H26" s="30"/>
      <c r="U26" s="30"/>
      <c r="V26" s="30"/>
      <c r="W26" s="30"/>
      <c r="X26" s="30"/>
      <c r="Y26" s="30"/>
      <c r="Z26" s="30"/>
    </row>
    <row r="27" spans="1:26" x14ac:dyDescent="0.2">
      <c r="B27" s="33" t="s">
        <v>722</v>
      </c>
      <c r="C27" s="39"/>
      <c r="D27" s="40"/>
      <c r="E27" s="40"/>
      <c r="F27" s="40"/>
      <c r="G27" s="41"/>
    </row>
    <row r="28" spans="1:26" x14ac:dyDescent="0.2">
      <c r="A28" s="30"/>
      <c r="B28" s="42" t="s">
        <v>723</v>
      </c>
      <c r="C28" s="50" t="e">
        <f ca="1">C26</f>
        <v>#NAME?</v>
      </c>
      <c r="D28" s="50" t="e">
        <f ca="1">D26</f>
        <v>#NAME?</v>
      </c>
      <c r="E28" s="50" t="e">
        <f ca="1">E26</f>
        <v>#NAME?</v>
      </c>
      <c r="F28" s="50" t="e">
        <f ca="1">F26</f>
        <v>#NAME?</v>
      </c>
      <c r="G28" s="51" t="e">
        <f ca="1">G26</f>
        <v>#NAME?</v>
      </c>
      <c r="H28" s="30"/>
      <c r="I28" s="52"/>
      <c r="U28" s="30"/>
      <c r="V28" s="30"/>
      <c r="W28" s="30"/>
      <c r="X28" s="30"/>
      <c r="Y28" s="30"/>
      <c r="Z28" s="30"/>
    </row>
    <row r="29" spans="1:26" x14ac:dyDescent="0.2">
      <c r="B29" s="33" t="s">
        <v>724</v>
      </c>
      <c r="C29" s="39">
        <f>'Avg.Weighted Manufacturer Price'!K43</f>
        <v>0</v>
      </c>
      <c r="D29" s="39">
        <f>'Avg.Weighted Manufacturer Price'!L43</f>
        <v>0</v>
      </c>
      <c r="E29" s="39">
        <f>'Avg.Weighted Manufacturer Price'!M43</f>
        <v>-25899.565117924023</v>
      </c>
      <c r="F29" s="39">
        <f>'Avg.Weighted Manufacturer Price'!N43</f>
        <v>-38781.287546490894</v>
      </c>
      <c r="G29" s="43">
        <f>'Avg.Weighted Manufacturer Price'!O43</f>
        <v>-40657.443311877054</v>
      </c>
    </row>
    <row r="30" spans="1:26" x14ac:dyDescent="0.2">
      <c r="A30" s="30"/>
      <c r="B30" s="42" t="s">
        <v>725</v>
      </c>
      <c r="C30" s="50" t="e">
        <f ca="1">C28+C29</f>
        <v>#NAME?</v>
      </c>
      <c r="D30" s="50" t="e">
        <f ca="1">D28+D29</f>
        <v>#NAME?</v>
      </c>
      <c r="E30" s="50" t="e">
        <f ca="1">E28+E29</f>
        <v>#NAME?</v>
      </c>
      <c r="F30" s="50" t="e">
        <f ca="1">F28+F29</f>
        <v>#NAME?</v>
      </c>
      <c r="G30" s="51" t="e">
        <f ca="1">G28+G29</f>
        <v>#NAME?</v>
      </c>
      <c r="H30" s="30"/>
      <c r="U30" s="30"/>
      <c r="V30" s="30"/>
      <c r="W30" s="30"/>
      <c r="X30" s="30"/>
      <c r="Y30" s="30"/>
      <c r="Z30" s="30"/>
    </row>
    <row r="31" spans="1:26" ht="17" thickBot="1" x14ac:dyDescent="0.25">
      <c r="B31" s="34" t="s">
        <v>726</v>
      </c>
      <c r="C31" s="2039">
        <f>'Avg.Weighted Manufacturer Price'!F9</f>
        <v>80.561016949152545</v>
      </c>
      <c r="D31" s="2039">
        <f>'Avg.Weighted Manufacturer Price'!F16</f>
        <v>78.128888213851766</v>
      </c>
      <c r="E31" s="2040">
        <f>'Avg.Weighted Manufacturer Price'!F25</f>
        <v>77.474995001098407</v>
      </c>
      <c r="F31" s="2040">
        <f>'Avg.Weighted Manufacturer Price'!F34</f>
        <v>73.278874137354507</v>
      </c>
      <c r="G31" s="2041">
        <f>'Avg.Weighted Manufacturer Price'!F43</f>
        <v>72.87782346630911</v>
      </c>
    </row>
    <row r="32" spans="1:26" ht="18" thickTop="1" thickBot="1" x14ac:dyDescent="0.25">
      <c r="B32" s="44" t="s">
        <v>730</v>
      </c>
      <c r="C32" s="2053" t="e">
        <f ca="1">C31*C30</f>
        <v>#NAME?</v>
      </c>
      <c r="D32" s="2053" t="e">
        <f ca="1">D31*D30</f>
        <v>#NAME?</v>
      </c>
      <c r="E32" s="2053" t="e">
        <f ca="1">E31*E30</f>
        <v>#NAME?</v>
      </c>
      <c r="F32" s="2053" t="e">
        <f ca="1">F31*F30</f>
        <v>#NAME?</v>
      </c>
      <c r="G32" s="2054" t="e">
        <f ca="1">G31*G30</f>
        <v>#NAME?</v>
      </c>
    </row>
    <row r="34" spans="1:25" ht="15.75" customHeight="1" thickBot="1" x14ac:dyDescent="0.25">
      <c r="A34" s="52"/>
      <c r="B34" s="53" t="s">
        <v>731</v>
      </c>
      <c r="C34" s="54" t="s">
        <v>71</v>
      </c>
      <c r="D34" s="55" t="s">
        <v>72</v>
      </c>
      <c r="E34" s="55" t="s">
        <v>73</v>
      </c>
      <c r="F34" s="55" t="s">
        <v>74</v>
      </c>
      <c r="G34" s="56" t="s">
        <v>75</v>
      </c>
      <c r="H34" s="52"/>
      <c r="U34" s="52"/>
      <c r="V34" s="52"/>
      <c r="W34" s="52"/>
      <c r="X34" s="52"/>
      <c r="Y34" s="52"/>
    </row>
    <row r="35" spans="1:25" ht="15" customHeight="1" x14ac:dyDescent="0.2">
      <c r="B35" s="36" t="s">
        <v>721</v>
      </c>
      <c r="C35" s="57" t="e">
        <f ca="1">C11+C26</f>
        <v>#NAME?</v>
      </c>
      <c r="D35" s="57" t="e">
        <f ca="1">D11+D26</f>
        <v>#NAME?</v>
      </c>
      <c r="E35" s="57" t="e">
        <f ca="1">E11+E26</f>
        <v>#NAME?</v>
      </c>
      <c r="F35" s="57" t="e">
        <f ca="1">F11+F26</f>
        <v>#NAME?</v>
      </c>
      <c r="G35" s="58" t="e">
        <f ca="1">G11+G26</f>
        <v>#NAME?</v>
      </c>
      <c r="U35" s="52"/>
      <c r="V35" s="52"/>
      <c r="W35" s="52"/>
      <c r="X35" s="52"/>
      <c r="Y35" s="52"/>
    </row>
    <row r="36" spans="1:25" ht="15" customHeight="1" x14ac:dyDescent="0.2">
      <c r="B36" s="33" t="s">
        <v>722</v>
      </c>
      <c r="C36" s="39"/>
      <c r="D36" s="40"/>
      <c r="E36" s="40"/>
      <c r="F36" s="40"/>
      <c r="G36" s="41"/>
    </row>
    <row r="37" spans="1:25" ht="14.25" customHeight="1" x14ac:dyDescent="0.2">
      <c r="B37" s="42" t="s">
        <v>723</v>
      </c>
      <c r="C37" s="57" t="e">
        <f ca="1">C13+C28</f>
        <v>#NAME?</v>
      </c>
      <c r="D37" s="57" t="e">
        <f ca="1">D13+D28</f>
        <v>#NAME?</v>
      </c>
      <c r="E37" s="57" t="e">
        <f ca="1">E13+E28</f>
        <v>#NAME?</v>
      </c>
      <c r="F37" s="57" t="e">
        <f ca="1">F13+F28</f>
        <v>#NAME?</v>
      </c>
      <c r="G37" s="58" t="e">
        <f ca="1">G13+G28</f>
        <v>#NAME?</v>
      </c>
    </row>
    <row r="38" spans="1:25" x14ac:dyDescent="0.2">
      <c r="B38" s="33" t="s">
        <v>724</v>
      </c>
      <c r="C38" s="39">
        <f>'Avg.Weighted Manufacturer Price'!K45</f>
        <v>0</v>
      </c>
      <c r="D38" s="39">
        <f>'Avg.Weighted Manufacturer Price'!L45</f>
        <v>0</v>
      </c>
      <c r="E38" s="39">
        <f>'Avg.Weighted Manufacturer Price'!M45</f>
        <v>-33539.411527837212</v>
      </c>
      <c r="F38" s="39">
        <f>'Avg.Weighted Manufacturer Price'!N45</f>
        <v>-50668.389590918778</v>
      </c>
      <c r="G38" s="43">
        <f>'Avg.Weighted Manufacturer Price'!O45</f>
        <v>-53266.42552550746</v>
      </c>
    </row>
    <row r="39" spans="1:25" x14ac:dyDescent="0.2">
      <c r="B39" s="42" t="s">
        <v>725</v>
      </c>
      <c r="C39" s="2611" t="e">
        <f ca="1">ROUNDUP(C15+C30,0)*0.95</f>
        <v>#NAME?</v>
      </c>
      <c r="D39" s="2611" t="e">
        <f ca="1">ROUNDUP(D15+D30,0)*0.95</f>
        <v>#NAME?</v>
      </c>
      <c r="E39" s="2611" t="e">
        <f ca="1">ROUNDUP(E15+E30,0)*0.95</f>
        <v>#NAME?</v>
      </c>
      <c r="F39" s="2611" t="e">
        <f ca="1">ROUNDUP(F15+F30,0)*0.95</f>
        <v>#NAME?</v>
      </c>
      <c r="G39" s="2611" t="e">
        <f ca="1">ROUNDUP(G15+G30,0)*0.95</f>
        <v>#NAME?</v>
      </c>
    </row>
    <row r="40" spans="1:25" ht="17" thickBot="1" x14ac:dyDescent="0.25">
      <c r="B40" s="34" t="s">
        <v>732</v>
      </c>
      <c r="C40" s="2039">
        <f>'Avg.Weighted Manufacturer Price'!F9</f>
        <v>80.561016949152545</v>
      </c>
      <c r="D40" s="2039">
        <f>'Avg.Weighted Manufacturer Price'!F16</f>
        <v>78.128888213851766</v>
      </c>
      <c r="E40" s="2059">
        <f>'Avg.Weighted Manufacturer Price'!F25</f>
        <v>77.474995001098407</v>
      </c>
      <c r="F40" s="2040">
        <f>'Avg.Weighted Manufacturer Price'!F34</f>
        <v>73.278874137354507</v>
      </c>
      <c r="G40" s="2041">
        <f>'Avg.Weighted Manufacturer Price'!F43</f>
        <v>72.87782346630911</v>
      </c>
    </row>
    <row r="41" spans="1:25" ht="18" thickTop="1" thickBot="1" x14ac:dyDescent="0.25">
      <c r="B41" s="44" t="s">
        <v>733</v>
      </c>
      <c r="C41" s="2060" t="e">
        <f ca="1">C40*C39</f>
        <v>#NAME?</v>
      </c>
      <c r="D41" s="2060" t="e">
        <f ca="1">D40*D39</f>
        <v>#NAME?</v>
      </c>
      <c r="E41" s="2060" t="e">
        <f ca="1">E40*E39</f>
        <v>#NAME?</v>
      </c>
      <c r="F41" s="2060" t="e">
        <f ca="1">F40*F39</f>
        <v>#NAME?</v>
      </c>
      <c r="G41" s="2061" t="e">
        <f ca="1">G40*G39</f>
        <v>#NAME?</v>
      </c>
    </row>
  </sheetData>
  <phoneticPr fontId="59" type="noConversion"/>
  <hyperlinks>
    <hyperlink ref="A1" location="index!A1" display="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U110"/>
  <sheetViews>
    <sheetView workbookViewId="0">
      <selection activeCell="B3" sqref="B3"/>
    </sheetView>
  </sheetViews>
  <sheetFormatPr baseColWidth="10" defaultColWidth="8.83203125" defaultRowHeight="16" x14ac:dyDescent="0.2"/>
  <cols>
    <col min="1" max="1" width="8.5" style="745" customWidth="1"/>
    <col min="2" max="2" width="36.6640625" style="745" customWidth="1"/>
    <col min="3" max="3" width="13.83203125" style="745" customWidth="1"/>
    <col min="4" max="4" width="15.6640625" style="745" customWidth="1"/>
    <col min="5" max="5" width="14.6640625" style="745" customWidth="1"/>
    <col min="6" max="6" width="13.6640625" style="745" customWidth="1"/>
    <col min="7" max="7" width="14.6640625" style="745" customWidth="1"/>
    <col min="8" max="8" width="13.83203125" style="745" customWidth="1"/>
    <col min="9" max="9" width="12.1640625" style="745" customWidth="1"/>
    <col min="10" max="10" width="20.33203125" style="745" customWidth="1"/>
    <col min="11" max="11" width="15.1640625" style="745" customWidth="1"/>
    <col min="12" max="12" width="20.1640625" style="745" bestFit="1" customWidth="1"/>
    <col min="13" max="13" width="18.6640625" style="745" customWidth="1"/>
    <col min="14" max="14" width="14.6640625" style="745" customWidth="1"/>
    <col min="15" max="15" width="13.1640625" style="745" customWidth="1"/>
    <col min="16" max="16" width="13.33203125" style="745" customWidth="1"/>
    <col min="17" max="17" width="8.83203125" style="745"/>
    <col min="18" max="18" width="18.1640625" style="745" bestFit="1" customWidth="1"/>
    <col min="19" max="19" width="17.83203125" style="745" bestFit="1" customWidth="1"/>
    <col min="20" max="20" width="20.1640625" style="745" bestFit="1" customWidth="1"/>
    <col min="21" max="21" width="17.83203125" style="745" bestFit="1" customWidth="1"/>
    <col min="22" max="22" width="12.6640625" style="745" bestFit="1" customWidth="1"/>
    <col min="23" max="23" width="14.6640625" style="745" customWidth="1"/>
    <col min="24" max="24" width="13.5" style="745" customWidth="1"/>
    <col min="25" max="25" width="15.33203125" style="745" customWidth="1"/>
    <col min="26" max="26" width="8.83203125" style="745"/>
    <col min="27" max="27" width="12.33203125" style="745" customWidth="1"/>
    <col min="28" max="28" width="13" style="745" customWidth="1"/>
    <col min="29" max="29" width="12.83203125" style="745" bestFit="1" customWidth="1"/>
    <col min="30" max="30" width="11.33203125" style="745" customWidth="1"/>
    <col min="31" max="31" width="12.5" style="745" bestFit="1" customWidth="1"/>
    <col min="32" max="32" width="13.1640625" style="745" bestFit="1" customWidth="1"/>
    <col min="33" max="33" width="11.1640625" style="745" customWidth="1"/>
    <col min="34" max="34" width="11.33203125" style="745" customWidth="1"/>
    <col min="35" max="35" width="14.33203125" style="745" customWidth="1"/>
    <col min="36" max="16384" width="8.83203125" style="745"/>
  </cols>
  <sheetData>
    <row r="1" spans="1:21" ht="17" thickBot="1" x14ac:dyDescent="0.25"/>
    <row r="2" spans="1:21" x14ac:dyDescent="0.2">
      <c r="A2" s="1771" t="s">
        <v>38</v>
      </c>
      <c r="B2" s="2756" t="s">
        <v>1534</v>
      </c>
      <c r="C2" s="2757"/>
      <c r="D2" s="2757"/>
      <c r="E2" s="2757"/>
      <c r="F2" s="2757"/>
      <c r="G2" s="2757"/>
      <c r="H2" s="2758"/>
    </row>
    <row r="3" spans="1:21" x14ac:dyDescent="0.2">
      <c r="B3" s="2759" t="s">
        <v>1535</v>
      </c>
      <c r="C3" s="2760"/>
      <c r="D3" s="2760"/>
      <c r="E3" s="2760"/>
      <c r="F3" s="2760"/>
      <c r="G3" s="2760"/>
      <c r="H3" s="2761"/>
    </row>
    <row r="4" spans="1:21" ht="17" thickBot="1" x14ac:dyDescent="0.25">
      <c r="B4" s="2762" t="s">
        <v>1536</v>
      </c>
      <c r="C4" s="2763"/>
      <c r="D4" s="2763"/>
      <c r="E4" s="2763"/>
      <c r="F4" s="2763"/>
      <c r="G4" s="2763"/>
      <c r="H4" s="2764"/>
    </row>
    <row r="6" spans="1:21" ht="17" thickBot="1" x14ac:dyDescent="0.25"/>
    <row r="7" spans="1:21" ht="29.25" customHeight="1" thickTop="1" thickBot="1" x14ac:dyDescent="0.25">
      <c r="B7" s="2184" t="s">
        <v>777</v>
      </c>
      <c r="C7" s="2173" t="s">
        <v>71</v>
      </c>
      <c r="D7" s="2174" t="s">
        <v>72</v>
      </c>
      <c r="E7" s="2174" t="s">
        <v>73</v>
      </c>
      <c r="F7" s="2174" t="s">
        <v>74</v>
      </c>
      <c r="G7" s="2175" t="s">
        <v>75</v>
      </c>
      <c r="J7" s="2185" t="s">
        <v>778</v>
      </c>
      <c r="K7" s="2186" t="s">
        <v>779</v>
      </c>
      <c r="L7" s="2187" t="s">
        <v>780</v>
      </c>
      <c r="M7" s="2188" t="s">
        <v>781</v>
      </c>
    </row>
    <row r="8" spans="1:21" ht="16.5" customHeight="1" x14ac:dyDescent="0.2">
      <c r="B8" s="2176" t="s">
        <v>782</v>
      </c>
      <c r="C8" s="1589">
        <f>'Avg.Weighted Manufacturer Price'!H9</f>
        <v>127</v>
      </c>
      <c r="D8" s="1590">
        <f>'Avg.Weighted Manufacturer Price'!H16</f>
        <v>127</v>
      </c>
      <c r="E8" s="1590">
        <f>'Avg.Weighted Manufacturer Price'!H25</f>
        <v>117</v>
      </c>
      <c r="F8" s="1590">
        <f>'Avg.Weighted Manufacturer Price'!H34</f>
        <v>116.85714285714286</v>
      </c>
      <c r="G8" s="1591">
        <f>'Avg.Weighted Manufacturer Price'!H43</f>
        <v>116.85714285714286</v>
      </c>
      <c r="J8" s="1614" t="s">
        <v>783</v>
      </c>
      <c r="K8" s="1615">
        <v>2.3699999999999999E-2</v>
      </c>
      <c r="L8" s="1616">
        <v>2.5899999999999999E-2</v>
      </c>
      <c r="M8" s="1617">
        <f>SUM(K8:L8)</f>
        <v>4.9599999999999998E-2</v>
      </c>
    </row>
    <row r="9" spans="1:21" ht="18.75" customHeight="1" thickBot="1" x14ac:dyDescent="0.25">
      <c r="B9" s="1592" t="s">
        <v>784</v>
      </c>
      <c r="C9" s="1593">
        <f>'IMC References'!C3</f>
        <v>8060000</v>
      </c>
      <c r="D9" s="1594">
        <f>'IMC References'!D3</f>
        <v>8288285.9355566287</v>
      </c>
      <c r="E9" s="1594">
        <f>'IMC References'!E3</f>
        <v>8519099.4789626393</v>
      </c>
      <c r="F9" s="1594">
        <f>'IMC References'!F3</f>
        <v>8744113.0776918661</v>
      </c>
      <c r="G9" s="1595">
        <f>'IMC References'!G3</f>
        <v>8958888.0618449114</v>
      </c>
      <c r="J9" s="1618" t="s">
        <v>785</v>
      </c>
      <c r="K9" s="1619">
        <v>1.7500000000000002E-2</v>
      </c>
      <c r="L9" s="1620">
        <v>1.83E-2</v>
      </c>
      <c r="M9" s="1621">
        <f>SUM(K9:L9)</f>
        <v>3.5799999999999998E-2</v>
      </c>
    </row>
    <row r="10" spans="1:21" ht="18" thickTop="1" thickBot="1" x14ac:dyDescent="0.25">
      <c r="B10" s="1596" t="s">
        <v>786</v>
      </c>
      <c r="C10" s="1597">
        <v>1.9599999999999999E-2</v>
      </c>
      <c r="D10" s="1597">
        <v>1.9599999999999999E-2</v>
      </c>
      <c r="E10" s="1598">
        <v>1.9599999999999999E-2</v>
      </c>
      <c r="F10" s="1598">
        <v>1.9599999999999999E-2</v>
      </c>
      <c r="G10" s="1599">
        <v>1.9599999999999999E-2</v>
      </c>
      <c r="J10"/>
      <c r="K10" s="1649"/>
      <c r="L10" s="1650"/>
      <c r="M10" s="1651"/>
    </row>
    <row r="11" spans="1:21" ht="18" thickTop="1" thickBot="1" x14ac:dyDescent="0.25">
      <c r="B11" s="1596" t="s">
        <v>787</v>
      </c>
      <c r="C11" s="1600">
        <f>C10*0.8</f>
        <v>1.5679999999999999E-2</v>
      </c>
      <c r="D11" s="1601">
        <f>D10*0.8</f>
        <v>1.5679999999999999E-2</v>
      </c>
      <c r="E11" s="1602">
        <f>E10*0.8</f>
        <v>1.5679999999999999E-2</v>
      </c>
      <c r="F11" s="1602">
        <f>F10*0.8</f>
        <v>1.5679999999999999E-2</v>
      </c>
      <c r="G11" s="1603">
        <f>G10*0.8</f>
        <v>1.5679999999999999E-2</v>
      </c>
      <c r="J11" s="2192" t="s">
        <v>788</v>
      </c>
    </row>
    <row r="12" spans="1:21" ht="18" thickTop="1" thickBot="1" x14ac:dyDescent="0.25">
      <c r="B12" s="1596" t="s">
        <v>789</v>
      </c>
      <c r="C12" s="1597">
        <v>0.24510000000000001</v>
      </c>
      <c r="D12" s="1597">
        <v>0.24510000000000001</v>
      </c>
      <c r="E12" s="1598">
        <v>0.24510000000000001</v>
      </c>
      <c r="F12" s="1598">
        <v>0.24510000000000001</v>
      </c>
      <c r="G12" s="1599">
        <v>0.24510000000000001</v>
      </c>
      <c r="K12"/>
      <c r="L12"/>
      <c r="R12" s="1544" t="s">
        <v>790</v>
      </c>
      <c r="S12" s="1493">
        <v>27</v>
      </c>
    </row>
    <row r="13" spans="1:21" ht="18" thickTop="1" thickBot="1" x14ac:dyDescent="0.25">
      <c r="B13" s="1596" t="s">
        <v>791</v>
      </c>
      <c r="C13" s="1600">
        <f>C12*0.3</f>
        <v>7.3529999999999998E-2</v>
      </c>
      <c r="D13" s="1600">
        <f>D12*0.3</f>
        <v>7.3529999999999998E-2</v>
      </c>
      <c r="E13" s="1604">
        <f>E12*0.3</f>
        <v>7.3529999999999998E-2</v>
      </c>
      <c r="F13" s="1604">
        <f>F12*0.3</f>
        <v>7.3529999999999998E-2</v>
      </c>
      <c r="G13" s="1605">
        <f>G12*0.3</f>
        <v>7.3529999999999998E-2</v>
      </c>
      <c r="J13" s="1521" t="s">
        <v>792</v>
      </c>
      <c r="K13" s="1627" t="s">
        <v>793</v>
      </c>
      <c r="R13" s="1545" t="s">
        <v>794</v>
      </c>
      <c r="S13" s="1112">
        <v>24</v>
      </c>
    </row>
    <row r="14" spans="1:21" ht="18" thickTop="1" thickBot="1" x14ac:dyDescent="0.25">
      <c r="B14" s="1606" t="s">
        <v>795</v>
      </c>
      <c r="C14" s="1607"/>
      <c r="D14" s="1607"/>
      <c r="E14" s="1608">
        <v>0.109</v>
      </c>
      <c r="F14" s="1608">
        <v>0.109</v>
      </c>
      <c r="G14" s="1024">
        <v>0.109</v>
      </c>
      <c r="H14" s="745">
        <v>8.9209999999999998E-2</v>
      </c>
      <c r="I14" s="745" t="e">
        <f ca="1">(E15-D15)/D15</f>
        <v>#NAME?</v>
      </c>
      <c r="K14" s="1633" t="s">
        <v>796</v>
      </c>
    </row>
    <row r="15" spans="1:21" ht="18" thickTop="1" thickBot="1" x14ac:dyDescent="0.25">
      <c r="B15" s="1609" t="s">
        <v>797</v>
      </c>
      <c r="C15" s="2625" t="e">
        <f ca="1">RiskNormal(D27,E27,RiskCorrmat(NewMatrix1,2))</f>
        <v>#NAME?</v>
      </c>
      <c r="D15" s="2625" t="e">
        <f ca="1">C15*1</f>
        <v>#NAME?</v>
      </c>
      <c r="E15" s="2625" t="e">
        <f ca="1">D15*(1+H15)</f>
        <v>#NAME?</v>
      </c>
      <c r="F15" s="2625" t="e">
        <f ca="1">E15*1</f>
        <v>#NAME?</v>
      </c>
      <c r="G15" s="2626" t="e">
        <f ca="1">F15*1</f>
        <v>#NAME?</v>
      </c>
      <c r="H15" s="745">
        <v>0.22183611702723913</v>
      </c>
      <c r="J15" s="1634" t="s">
        <v>798</v>
      </c>
      <c r="K15" s="1638" t="s">
        <v>799</v>
      </c>
      <c r="L15" s="1538" t="s">
        <v>800</v>
      </c>
      <c r="M15" s="1538" t="s">
        <v>801</v>
      </c>
      <c r="N15" s="1538" t="s">
        <v>802</v>
      </c>
      <c r="O15" s="1538" t="s">
        <v>803</v>
      </c>
      <c r="P15" s="1539" t="s">
        <v>804</v>
      </c>
      <c r="R15" s="1562" t="s">
        <v>805</v>
      </c>
      <c r="S15" s="1563" t="s">
        <v>806</v>
      </c>
      <c r="T15" s="1566" t="s">
        <v>807</v>
      </c>
      <c r="U15" s="1568" t="s">
        <v>128</v>
      </c>
    </row>
    <row r="16" spans="1:21" ht="17" thickTop="1" x14ac:dyDescent="0.2">
      <c r="B16" s="1610" t="s">
        <v>808</v>
      </c>
      <c r="C16" s="1593">
        <f>'IMC References'!C7</f>
        <v>12020000</v>
      </c>
      <c r="D16" s="1594">
        <f>'IMC References'!D7</f>
        <v>12336998.865877114</v>
      </c>
      <c r="E16" s="1594">
        <f>'IMC References'!E7</f>
        <v>12365192.677053036</v>
      </c>
      <c r="F16" s="1594">
        <f>'IMC References'!F7</f>
        <v>12348150.765320711</v>
      </c>
      <c r="G16" s="1595">
        <f>'IMC References'!G7</f>
        <v>12279462.670491993</v>
      </c>
      <c r="J16" s="1564" t="s">
        <v>809</v>
      </c>
      <c r="K16" s="1217">
        <v>1</v>
      </c>
      <c r="L16" s="1217">
        <v>7</v>
      </c>
      <c r="M16" s="1217">
        <v>5</v>
      </c>
      <c r="N16" s="1217">
        <v>10</v>
      </c>
      <c r="O16" s="1528">
        <v>2</v>
      </c>
      <c r="P16" s="1496">
        <v>25</v>
      </c>
      <c r="R16" s="1205">
        <f>N16+O16</f>
        <v>12</v>
      </c>
      <c r="S16" s="1218">
        <f>R16/$S$12</f>
        <v>0.44444444444444442</v>
      </c>
      <c r="T16" s="1386">
        <v>0.04</v>
      </c>
      <c r="U16" s="1509">
        <f>S16*T16</f>
        <v>1.7777777777777778E-2</v>
      </c>
    </row>
    <row r="17" spans="2:21" x14ac:dyDescent="0.2">
      <c r="B17" s="1611" t="s">
        <v>786</v>
      </c>
      <c r="C17" s="1597">
        <v>0.16669999999999999</v>
      </c>
      <c r="D17" s="1597">
        <v>0.16669999999999999</v>
      </c>
      <c r="E17" s="1598">
        <v>0.16669999999999999</v>
      </c>
      <c r="F17" s="1598">
        <v>0.16669999999999999</v>
      </c>
      <c r="G17" s="1599">
        <v>0.16669999999999999</v>
      </c>
      <c r="J17" s="1565" t="s">
        <v>810</v>
      </c>
      <c r="K17" s="1217">
        <v>4</v>
      </c>
      <c r="L17" s="1217">
        <v>22</v>
      </c>
      <c r="M17" s="1217">
        <v>15</v>
      </c>
      <c r="N17" s="1217">
        <v>11</v>
      </c>
      <c r="O17" s="1528"/>
      <c r="P17" s="1496">
        <v>52</v>
      </c>
      <c r="R17" s="1205">
        <f>N17+O17</f>
        <v>11</v>
      </c>
      <c r="S17" s="1218">
        <f>R17/$S$12</f>
        <v>0.40740740740740738</v>
      </c>
      <c r="T17" s="1386">
        <v>0.02</v>
      </c>
      <c r="U17" s="1509">
        <f t="shared" ref="U17:U18" si="0">S17*T17</f>
        <v>8.1481481481481474E-3</v>
      </c>
    </row>
    <row r="18" spans="2:21" ht="17" thickBot="1" x14ac:dyDescent="0.25">
      <c r="B18" s="1596" t="s">
        <v>787</v>
      </c>
      <c r="C18" s="1600">
        <f>C17*0.8</f>
        <v>0.13336000000000001</v>
      </c>
      <c r="D18" s="1601">
        <f>D17*0.8</f>
        <v>0.13336000000000001</v>
      </c>
      <c r="E18" s="1602">
        <f>E17*0.8</f>
        <v>0.13336000000000001</v>
      </c>
      <c r="F18" s="1602">
        <f>F17*0.8</f>
        <v>0.13336000000000001</v>
      </c>
      <c r="G18" s="1603">
        <f>G17*0.8</f>
        <v>0.13336000000000001</v>
      </c>
      <c r="J18" s="1565" t="s">
        <v>811</v>
      </c>
      <c r="K18" s="1217">
        <v>6</v>
      </c>
      <c r="L18" s="1217">
        <v>8</v>
      </c>
      <c r="M18" s="1217">
        <v>7</v>
      </c>
      <c r="N18" s="1217">
        <v>4</v>
      </c>
      <c r="O18" s="1528"/>
      <c r="P18" s="1496">
        <v>25</v>
      </c>
      <c r="R18" s="1211">
        <f>N18+O18</f>
        <v>4</v>
      </c>
      <c r="S18" s="1530">
        <f>R18/$S$12</f>
        <v>0.14814814814814814</v>
      </c>
      <c r="T18" s="1504">
        <v>0</v>
      </c>
      <c r="U18" s="1509">
        <f t="shared" si="0"/>
        <v>0</v>
      </c>
    </row>
    <row r="19" spans="2:21" ht="18" thickTop="1" thickBot="1" x14ac:dyDescent="0.25">
      <c r="B19" s="1596" t="s">
        <v>789</v>
      </c>
      <c r="C19" s="1597">
        <v>0.33329999999999999</v>
      </c>
      <c r="D19" s="1597">
        <v>0.33329999999999999</v>
      </c>
      <c r="E19" s="1598">
        <v>0.33329999999999999</v>
      </c>
      <c r="F19" s="1598">
        <v>0.33329999999999999</v>
      </c>
      <c r="G19" s="1599">
        <v>0.33329999999999999</v>
      </c>
      <c r="J19" s="844" t="s">
        <v>804</v>
      </c>
      <c r="K19" s="1588">
        <v>11</v>
      </c>
      <c r="L19" s="1588">
        <v>37</v>
      </c>
      <c r="M19" s="1588">
        <v>27</v>
      </c>
      <c r="N19" s="1588">
        <v>25</v>
      </c>
      <c r="O19" s="1583">
        <v>2</v>
      </c>
      <c r="P19" s="1637">
        <v>102</v>
      </c>
      <c r="T19" s="1576" t="s">
        <v>128</v>
      </c>
      <c r="U19" s="1622">
        <f>SUM(U16:U18)</f>
        <v>2.5925925925925925E-2</v>
      </c>
    </row>
    <row r="20" spans="2:21" ht="18" thickTop="1" thickBot="1" x14ac:dyDescent="0.25">
      <c r="B20" s="1596" t="s">
        <v>791</v>
      </c>
      <c r="C20" s="1600">
        <f>C19*0.3</f>
        <v>9.9989999999999996E-2</v>
      </c>
      <c r="D20" s="1601">
        <f>D19*0.3</f>
        <v>9.9989999999999996E-2</v>
      </c>
      <c r="E20" s="1612">
        <f>E19*0.3</f>
        <v>9.9989999999999996E-2</v>
      </c>
      <c r="F20" s="1612">
        <f>F19*0.3</f>
        <v>9.9989999999999996E-2</v>
      </c>
      <c r="G20" s="1605">
        <f>G19*0.3</f>
        <v>9.9989999999999996E-2</v>
      </c>
    </row>
    <row r="21" spans="2:21" ht="18" thickTop="1" thickBot="1" x14ac:dyDescent="0.25">
      <c r="B21" s="1606" t="s">
        <v>795</v>
      </c>
      <c r="C21" s="1607"/>
      <c r="D21" s="1607"/>
      <c r="E21" s="1608">
        <v>0.28849999999999998</v>
      </c>
      <c r="F21" s="1608">
        <v>0.28849999999999998</v>
      </c>
      <c r="G21" s="1024">
        <v>0.28849999999999998</v>
      </c>
      <c r="J21" s="1567" t="s">
        <v>794</v>
      </c>
      <c r="K21" s="1627" t="s">
        <v>793</v>
      </c>
    </row>
    <row r="22" spans="2:21" ht="18" thickTop="1" thickBot="1" x14ac:dyDescent="0.25">
      <c r="B22" s="1613" t="s">
        <v>812</v>
      </c>
      <c r="C22" s="2627" t="e">
        <f ca="1">RiskTriang(D25,E25,F25,RiskCorrmat(NewMatrix1,1))</f>
        <v>#NAME?</v>
      </c>
      <c r="D22" s="2627" t="e">
        <f ca="1">C22*1</f>
        <v>#NAME?</v>
      </c>
      <c r="E22" s="2627" t="e">
        <f ca="1">(1+H23)*D22</f>
        <v>#NAME?</v>
      </c>
      <c r="F22" s="2627" t="e">
        <f ca="1">E22*1</f>
        <v>#NAME?</v>
      </c>
      <c r="G22" s="2628" t="e">
        <f ca="1">F22*1</f>
        <v>#NAME?</v>
      </c>
      <c r="H22" s="745">
        <v>0.23335</v>
      </c>
      <c r="I22" s="745" t="e">
        <f ca="1">(E22-D22)/D22</f>
        <v>#NAME?</v>
      </c>
      <c r="K22" s="1633" t="s">
        <v>796</v>
      </c>
    </row>
    <row r="23" spans="2:21" ht="18" thickTop="1" thickBot="1" x14ac:dyDescent="0.25">
      <c r="B23" s="2180" t="s">
        <v>813</v>
      </c>
      <c r="C23" s="2177" t="e">
        <f ca="1">C22+C15</f>
        <v>#NAME?</v>
      </c>
      <c r="D23" s="2178" t="e">
        <f ca="1">D22+D15</f>
        <v>#NAME?</v>
      </c>
      <c r="E23" s="2178" t="e">
        <f ca="1">E22+E15</f>
        <v>#NAME?</v>
      </c>
      <c r="F23" s="2178" t="e">
        <f ca="1">F22+F15</f>
        <v>#NAME?</v>
      </c>
      <c r="G23" s="2179" t="e">
        <f ca="1">G15+G22</f>
        <v>#NAME?</v>
      </c>
      <c r="H23" s="745">
        <v>0.23634026140989919</v>
      </c>
      <c r="J23" s="1634" t="s">
        <v>798</v>
      </c>
      <c r="K23" s="1548" t="s">
        <v>799</v>
      </c>
      <c r="L23" s="1549" t="s">
        <v>800</v>
      </c>
      <c r="M23" s="1549" t="s">
        <v>801</v>
      </c>
      <c r="N23" s="1549" t="s">
        <v>802</v>
      </c>
      <c r="O23" s="1574" t="s">
        <v>803</v>
      </c>
      <c r="P23" s="1550" t="s">
        <v>804</v>
      </c>
      <c r="R23" s="1561" t="s">
        <v>805</v>
      </c>
      <c r="S23" s="1549" t="s">
        <v>806</v>
      </c>
      <c r="T23" s="1574" t="s">
        <v>807</v>
      </c>
      <c r="U23" s="1550" t="s">
        <v>128</v>
      </c>
    </row>
    <row r="24" spans="2:21" ht="18" thickTop="1" thickBot="1" x14ac:dyDescent="0.25">
      <c r="B24"/>
      <c r="C24"/>
      <c r="D24" s="269" t="s">
        <v>1500</v>
      </c>
      <c r="E24" s="269" t="s">
        <v>1496</v>
      </c>
      <c r="F24" s="269" t="s">
        <v>1501</v>
      </c>
      <c r="G24"/>
      <c r="J24" s="1659" t="s">
        <v>809</v>
      </c>
      <c r="K24" s="1217"/>
      <c r="L24" s="1217">
        <v>3</v>
      </c>
      <c r="M24" s="1217">
        <v>2</v>
      </c>
      <c r="N24" s="1217">
        <v>7</v>
      </c>
      <c r="O24" s="1528">
        <v>2</v>
      </c>
      <c r="P24" s="1496">
        <v>14</v>
      </c>
      <c r="R24" s="1205">
        <f>O24+N24</f>
        <v>9</v>
      </c>
      <c r="S24" s="1218">
        <f>R24/$S$13</f>
        <v>0.375</v>
      </c>
      <c r="T24" s="1386">
        <v>0.04</v>
      </c>
      <c r="U24" s="1509">
        <f>S24*T24</f>
        <v>1.4999999999999999E-2</v>
      </c>
    </row>
    <row r="25" spans="2:21" ht="17" thickTop="1" x14ac:dyDescent="0.2">
      <c r="B25" s="2190" t="s">
        <v>814</v>
      </c>
      <c r="C25"/>
      <c r="D25" s="269">
        <v>0.21001500000000001</v>
      </c>
      <c r="E25" s="269">
        <v>0.23335</v>
      </c>
      <c r="F25" s="269">
        <v>0.256685</v>
      </c>
      <c r="G25"/>
      <c r="J25" s="1660" t="s">
        <v>810</v>
      </c>
      <c r="K25" s="1217">
        <v>1</v>
      </c>
      <c r="L25" s="1217">
        <v>3</v>
      </c>
      <c r="M25" s="1217">
        <v>8</v>
      </c>
      <c r="N25" s="1217">
        <v>3</v>
      </c>
      <c r="O25" s="1528">
        <v>1</v>
      </c>
      <c r="P25" s="1496">
        <v>16</v>
      </c>
      <c r="R25" s="1205">
        <f>O25+N25</f>
        <v>4</v>
      </c>
      <c r="S25" s="1218">
        <f>R25/$S$13</f>
        <v>0.16666666666666666</v>
      </c>
      <c r="T25" s="1386">
        <v>0.02</v>
      </c>
      <c r="U25" s="1509">
        <f t="shared" ref="U25:U26" si="1">S25*T25</f>
        <v>3.3333333333333331E-3</v>
      </c>
    </row>
    <row r="26" spans="2:21" ht="17" thickBot="1" x14ac:dyDescent="0.25">
      <c r="B26" s="2191" t="s">
        <v>815</v>
      </c>
      <c r="C26"/>
      <c r="D26" s="269" t="s">
        <v>1496</v>
      </c>
      <c r="E26" s="269" t="s">
        <v>1497</v>
      </c>
      <c r="F26" s="269"/>
      <c r="G26"/>
      <c r="J26" s="1660" t="s">
        <v>811</v>
      </c>
      <c r="K26" s="1217">
        <v>1</v>
      </c>
      <c r="L26" s="1217">
        <v>2</v>
      </c>
      <c r="M26" s="1217">
        <v>4</v>
      </c>
      <c r="N26" s="1217">
        <v>6</v>
      </c>
      <c r="O26" s="1528">
        <v>5</v>
      </c>
      <c r="P26" s="1496">
        <v>18</v>
      </c>
      <c r="R26" s="1211">
        <f>O26+N26</f>
        <v>11</v>
      </c>
      <c r="S26" s="1530">
        <f>R26/$S$13</f>
        <v>0.45833333333333331</v>
      </c>
      <c r="T26" s="1504">
        <v>0</v>
      </c>
      <c r="U26" s="1509">
        <f t="shared" si="1"/>
        <v>0</v>
      </c>
    </row>
    <row r="27" spans="2:21" ht="18" thickTop="1" thickBot="1" x14ac:dyDescent="0.25">
      <c r="D27" s="2612">
        <v>8.9209999999999998E-2</v>
      </c>
      <c r="E27" s="2612">
        <v>8.9210000000000001E-3</v>
      </c>
      <c r="F27" s="2612"/>
      <c r="J27" s="1661" t="s">
        <v>804</v>
      </c>
      <c r="K27" s="1588">
        <v>2</v>
      </c>
      <c r="L27" s="1588">
        <v>8</v>
      </c>
      <c r="M27" s="1588">
        <v>14</v>
      </c>
      <c r="N27" s="1588">
        <v>16</v>
      </c>
      <c r="O27" s="1583">
        <v>8</v>
      </c>
      <c r="P27" s="1637">
        <v>48</v>
      </c>
      <c r="T27" s="1575" t="s">
        <v>128</v>
      </c>
      <c r="U27" s="1622">
        <f>SUM(U24:U26)</f>
        <v>1.8333333333333333E-2</v>
      </c>
    </row>
    <row r="28" spans="2:21" ht="18" thickTop="1" thickBot="1" x14ac:dyDescent="0.25">
      <c r="B28" s="2790" t="s">
        <v>816</v>
      </c>
      <c r="C28" s="2791"/>
      <c r="D28"/>
    </row>
    <row r="29" spans="2:21" ht="18" thickTop="1" thickBot="1" x14ac:dyDescent="0.25">
      <c r="B29" s="1558" t="s">
        <v>817</v>
      </c>
      <c r="C29" s="1638" t="s">
        <v>799</v>
      </c>
      <c r="D29" s="1538" t="s">
        <v>800</v>
      </c>
      <c r="E29" s="1538" t="s">
        <v>801</v>
      </c>
      <c r="F29" s="1538" t="s">
        <v>802</v>
      </c>
      <c r="G29" s="1538" t="s">
        <v>803</v>
      </c>
      <c r="H29" s="1539" t="s">
        <v>804</v>
      </c>
      <c r="I29" s="1653"/>
      <c r="J29" s="2193" t="s">
        <v>818</v>
      </c>
      <c r="K29" s="1652"/>
      <c r="L29" s="1652"/>
      <c r="M29" s="1652"/>
      <c r="N29" s="1652"/>
      <c r="O29" s="1652"/>
      <c r="P29" s="1652"/>
      <c r="Q29" s="1652"/>
      <c r="R29" s="1652"/>
      <c r="S29" s="1652"/>
      <c r="T29" s="1652"/>
      <c r="U29" s="1652"/>
    </row>
    <row r="30" spans="2:21" ht="18" thickTop="1" thickBot="1" x14ac:dyDescent="0.25">
      <c r="B30" s="1531">
        <v>127</v>
      </c>
      <c r="C30" s="1217">
        <v>4</v>
      </c>
      <c r="D30" s="1217">
        <v>16</v>
      </c>
      <c r="E30" s="1217">
        <v>11</v>
      </c>
      <c r="F30" s="1217">
        <v>7</v>
      </c>
      <c r="G30" s="1217"/>
      <c r="H30" s="1496">
        <v>38</v>
      </c>
      <c r="I30" s="1217"/>
      <c r="K30"/>
      <c r="L30"/>
    </row>
    <row r="31" spans="2:21" ht="18" thickTop="1" thickBot="1" x14ac:dyDescent="0.25">
      <c r="B31" s="1531">
        <v>140</v>
      </c>
      <c r="C31" s="1217">
        <v>1</v>
      </c>
      <c r="D31" s="1217">
        <v>4</v>
      </c>
      <c r="E31" s="1217">
        <v>9</v>
      </c>
      <c r="F31" s="1217">
        <v>5</v>
      </c>
      <c r="G31" s="1217">
        <v>1</v>
      </c>
      <c r="H31" s="1496">
        <v>20</v>
      </c>
      <c r="I31" s="1217"/>
      <c r="J31" s="1521" t="s">
        <v>792</v>
      </c>
      <c r="K31" s="1627" t="s">
        <v>819</v>
      </c>
    </row>
    <row r="32" spans="2:21" ht="18" thickTop="1" thickBot="1" x14ac:dyDescent="0.25">
      <c r="B32" s="1531">
        <v>153</v>
      </c>
      <c r="C32" s="1217">
        <v>4</v>
      </c>
      <c r="D32" s="1217">
        <v>14</v>
      </c>
      <c r="E32" s="1217">
        <v>4</v>
      </c>
      <c r="F32" s="1217">
        <v>9</v>
      </c>
      <c r="G32" s="1217"/>
      <c r="H32" s="1496">
        <v>31</v>
      </c>
      <c r="I32" s="1217"/>
      <c r="K32" s="1633" t="s">
        <v>796</v>
      </c>
      <c r="R32" s="2610"/>
      <c r="S32" s="2610"/>
      <c r="T32" s="2610"/>
      <c r="U32" s="2610"/>
    </row>
    <row r="33" spans="2:21" ht="18" thickTop="1" thickBot="1" x14ac:dyDescent="0.25">
      <c r="B33" s="1531">
        <v>166</v>
      </c>
      <c r="C33" s="1217">
        <v>2</v>
      </c>
      <c r="D33" s="1217">
        <v>1</v>
      </c>
      <c r="E33" s="1217">
        <v>2</v>
      </c>
      <c r="F33" s="1217">
        <v>2</v>
      </c>
      <c r="G33" s="1217">
        <v>1</v>
      </c>
      <c r="H33" s="1496">
        <v>8</v>
      </c>
      <c r="I33" s="1217"/>
      <c r="J33" s="1625" t="s">
        <v>798</v>
      </c>
      <c r="K33" s="1538" t="s">
        <v>799</v>
      </c>
      <c r="L33" s="1538" t="s">
        <v>800</v>
      </c>
      <c r="M33" s="1538" t="s">
        <v>801</v>
      </c>
      <c r="N33" s="1538" t="s">
        <v>802</v>
      </c>
      <c r="O33" s="1569" t="s">
        <v>803</v>
      </c>
      <c r="P33" s="1571" t="s">
        <v>804</v>
      </c>
      <c r="R33" s="1562" t="s">
        <v>805</v>
      </c>
      <c r="S33" s="1563" t="s">
        <v>806</v>
      </c>
      <c r="T33" s="1566" t="s">
        <v>807</v>
      </c>
      <c r="U33" s="1568" t="s">
        <v>128</v>
      </c>
    </row>
    <row r="34" spans="2:21" ht="18" thickTop="1" thickBot="1" x14ac:dyDescent="0.25">
      <c r="B34" s="1555">
        <v>179</v>
      </c>
      <c r="C34" s="1556"/>
      <c r="D34" s="1556">
        <v>2</v>
      </c>
      <c r="E34" s="1556">
        <v>1</v>
      </c>
      <c r="F34" s="1556">
        <v>2</v>
      </c>
      <c r="G34" s="1556"/>
      <c r="H34" s="1557">
        <v>5</v>
      </c>
      <c r="I34" s="1217"/>
      <c r="J34" s="1564" t="s">
        <v>809</v>
      </c>
      <c r="K34" s="1217"/>
      <c r="L34" s="1217">
        <v>5</v>
      </c>
      <c r="M34" s="1217">
        <v>4</v>
      </c>
      <c r="N34" s="1217">
        <v>8</v>
      </c>
      <c r="O34" s="1504">
        <v>2</v>
      </c>
      <c r="P34" s="1647">
        <v>19</v>
      </c>
      <c r="R34" s="1205">
        <f>N34+O34</f>
        <v>10</v>
      </c>
      <c r="S34" s="1218">
        <f>R34/$S$12</f>
        <v>0.37037037037037035</v>
      </c>
      <c r="T34" s="1386">
        <v>0.04</v>
      </c>
      <c r="U34" s="1573">
        <f>S34*T34</f>
        <v>1.4814814814814814E-2</v>
      </c>
    </row>
    <row r="35" spans="2:21" ht="18" thickTop="1" thickBot="1" x14ac:dyDescent="0.25">
      <c r="B35" s="1552" t="s">
        <v>804</v>
      </c>
      <c r="C35" s="1553">
        <v>11</v>
      </c>
      <c r="D35" s="1553">
        <v>37</v>
      </c>
      <c r="E35" s="1553">
        <v>27</v>
      </c>
      <c r="F35" s="1553">
        <v>25</v>
      </c>
      <c r="G35" s="1553">
        <v>2</v>
      </c>
      <c r="H35" s="1554">
        <v>102</v>
      </c>
      <c r="I35"/>
      <c r="J35" s="1565" t="s">
        <v>810</v>
      </c>
      <c r="K35" s="1217">
        <v>4</v>
      </c>
      <c r="L35" s="1217">
        <v>23</v>
      </c>
      <c r="M35" s="1217">
        <v>16</v>
      </c>
      <c r="N35" s="1217">
        <v>12</v>
      </c>
      <c r="O35" s="1504"/>
      <c r="P35" s="1647">
        <v>55</v>
      </c>
      <c r="R35" s="1205">
        <f>N35+O35</f>
        <v>12</v>
      </c>
      <c r="S35" s="1218">
        <f>R35/$S$12</f>
        <v>0.44444444444444442</v>
      </c>
      <c r="T35" s="1386">
        <v>0.02</v>
      </c>
      <c r="U35" s="1573">
        <f t="shared" ref="U35:U36" si="2">S35*T35</f>
        <v>8.8888888888888889E-3</v>
      </c>
    </row>
    <row r="36" spans="2:21" ht="18" thickTop="1" thickBot="1" x14ac:dyDescent="0.25">
      <c r="J36" s="1565" t="s">
        <v>811</v>
      </c>
      <c r="K36" s="1217">
        <v>7</v>
      </c>
      <c r="L36" s="1217">
        <v>9</v>
      </c>
      <c r="M36" s="1217">
        <v>7</v>
      </c>
      <c r="N36" s="1217">
        <v>5</v>
      </c>
      <c r="O36" s="1504"/>
      <c r="P36" s="1647">
        <v>28</v>
      </c>
      <c r="R36" s="1211">
        <f>N36+O36</f>
        <v>5</v>
      </c>
      <c r="S36" s="1530">
        <f>R36/$S$12</f>
        <v>0.18518518518518517</v>
      </c>
      <c r="T36" s="1504">
        <v>0</v>
      </c>
      <c r="U36" s="1573">
        <f t="shared" si="2"/>
        <v>0</v>
      </c>
    </row>
    <row r="37" spans="2:21" ht="18" thickTop="1" thickBot="1" x14ac:dyDescent="0.25">
      <c r="B37" s="1519" t="s">
        <v>820</v>
      </c>
      <c r="C37" s="1159">
        <v>102</v>
      </c>
      <c r="J37" s="844" t="s">
        <v>804</v>
      </c>
      <c r="K37" s="1588">
        <v>11</v>
      </c>
      <c r="L37" s="1588">
        <v>37</v>
      </c>
      <c r="M37" s="1588">
        <v>27</v>
      </c>
      <c r="N37" s="1588">
        <v>25</v>
      </c>
      <c r="O37" s="1583">
        <v>2</v>
      </c>
      <c r="P37" s="1637">
        <v>102</v>
      </c>
      <c r="T37" s="1518" t="s">
        <v>128</v>
      </c>
      <c r="U37" s="1626">
        <f>SUM(U34:U36)</f>
        <v>2.3703703703703703E-2</v>
      </c>
    </row>
    <row r="38" spans="2:21" ht="18" thickTop="1" thickBot="1" x14ac:dyDescent="0.25">
      <c r="B38" s="1520" t="s">
        <v>821</v>
      </c>
      <c r="C38" s="1492">
        <v>8060000</v>
      </c>
    </row>
    <row r="39" spans="2:21" ht="18" thickTop="1" thickBot="1" x14ac:dyDescent="0.25">
      <c r="B39" s="1577" t="s">
        <v>802</v>
      </c>
      <c r="C39" s="1580" t="s">
        <v>803</v>
      </c>
      <c r="D39" s="1538" t="s">
        <v>804</v>
      </c>
      <c r="E39" s="2613" t="s">
        <v>1436</v>
      </c>
      <c r="F39" s="2614" t="str">
        <f ca="1">"S.2 Adjusted Purchase Intent / Year 1 in "&amp;CELL("address",$C$22)</f>
        <v>S.2 Adjusted Purchase Intent / Year 1 in $C$22</v>
      </c>
      <c r="G39" s="2614" t="str">
        <f ca="1">"S.1 Adjusted Purchase Intent / Year 1 in "&amp;CELL("address",$C$15)</f>
        <v>S.1 Adjusted Purchase Intent / Year 1 in $C$15</v>
      </c>
      <c r="J39" s="1567" t="s">
        <v>794</v>
      </c>
      <c r="K39" s="1627" t="s">
        <v>819</v>
      </c>
    </row>
    <row r="40" spans="2:21" ht="18" thickTop="1" thickBot="1" x14ac:dyDescent="0.25">
      <c r="B40" s="1578">
        <v>7</v>
      </c>
      <c r="C40" s="1504"/>
      <c r="D40" s="1217">
        <v>38</v>
      </c>
      <c r="E40" s="2614" t="str">
        <f ca="1">"S.2 Adjusted Purchase Intent / Year 1 in "&amp;CELL("address",$C$22)</f>
        <v>S.2 Adjusted Purchase Intent / Year 1 in $C$22</v>
      </c>
      <c r="F40" s="2615">
        <v>1</v>
      </c>
      <c r="G40" s="2616"/>
      <c r="K40" s="1633" t="s">
        <v>796</v>
      </c>
    </row>
    <row r="41" spans="2:21" ht="18" thickTop="1" thickBot="1" x14ac:dyDescent="0.25">
      <c r="B41" s="1578">
        <v>5</v>
      </c>
      <c r="C41" s="1504">
        <v>1</v>
      </c>
      <c r="D41" s="1217">
        <v>20</v>
      </c>
      <c r="E41" s="2614" t="str">
        <f ca="1">"S.1 Adjusted Purchase Intent / Year 1 in "&amp;CELL("address",$C$15)</f>
        <v>S.1 Adjusted Purchase Intent / Year 1 in $C$15</v>
      </c>
      <c r="F41" s="2617">
        <v>0.5</v>
      </c>
      <c r="G41" s="2618">
        <v>1</v>
      </c>
      <c r="J41" s="1634" t="s">
        <v>798</v>
      </c>
      <c r="K41" s="1548" t="s">
        <v>799</v>
      </c>
      <c r="L41" s="1549" t="s">
        <v>800</v>
      </c>
      <c r="M41" s="1549" t="s">
        <v>801</v>
      </c>
      <c r="N41" s="1549" t="s">
        <v>802</v>
      </c>
      <c r="O41" s="1574" t="s">
        <v>803</v>
      </c>
      <c r="P41" s="1550" t="s">
        <v>804</v>
      </c>
      <c r="R41" s="1561" t="s">
        <v>805</v>
      </c>
      <c r="S41" s="1549" t="s">
        <v>806</v>
      </c>
      <c r="T41" s="1574" t="s">
        <v>807</v>
      </c>
      <c r="U41" s="1550" t="s">
        <v>128</v>
      </c>
    </row>
    <row r="42" spans="2:21" ht="17" thickTop="1" x14ac:dyDescent="0.2">
      <c r="B42" s="1578">
        <v>9</v>
      </c>
      <c r="C42" s="1504"/>
      <c r="D42" s="1496">
        <v>31</v>
      </c>
      <c r="J42" s="1659" t="s">
        <v>809</v>
      </c>
      <c r="K42" s="1217"/>
      <c r="L42" s="1217">
        <v>2</v>
      </c>
      <c r="M42" s="1217">
        <v>2</v>
      </c>
      <c r="N42" s="1217">
        <v>6</v>
      </c>
      <c r="O42" s="1504">
        <v>2</v>
      </c>
      <c r="P42" s="1648">
        <v>12</v>
      </c>
      <c r="Q42" s="2610"/>
      <c r="R42" s="1205">
        <f>O42+N42</f>
        <v>8</v>
      </c>
      <c r="S42" s="1218">
        <f>R42/$S$13</f>
        <v>0.33333333333333331</v>
      </c>
      <c r="T42" s="1386">
        <v>0.04</v>
      </c>
      <c r="U42" s="1572">
        <f>T42*S42</f>
        <v>1.3333333333333332E-2</v>
      </c>
    </row>
    <row r="43" spans="2:21" x14ac:dyDescent="0.2">
      <c r="B43" s="1578">
        <v>2</v>
      </c>
      <c r="C43" s="1504">
        <v>1</v>
      </c>
      <c r="D43" s="1496">
        <v>8</v>
      </c>
      <c r="J43" s="1660" t="s">
        <v>810</v>
      </c>
      <c r="K43" s="1217">
        <v>1</v>
      </c>
      <c r="L43" s="1217">
        <v>4</v>
      </c>
      <c r="M43" s="1217">
        <v>7</v>
      </c>
      <c r="N43" s="1217">
        <v>4</v>
      </c>
      <c r="O43" s="1504">
        <v>1</v>
      </c>
      <c r="P43" s="1648">
        <v>17</v>
      </c>
      <c r="Q43" s="2610"/>
      <c r="R43" s="1205">
        <f>O43+N43</f>
        <v>5</v>
      </c>
      <c r="S43" s="1218">
        <f>R43/$S$13</f>
        <v>0.20833333333333334</v>
      </c>
      <c r="T43" s="1386">
        <v>0.02</v>
      </c>
      <c r="U43" s="1572">
        <f t="shared" ref="U43:U44" si="3">T43*S43</f>
        <v>4.1666666666666666E-3</v>
      </c>
    </row>
    <row r="44" spans="2:21" ht="17" thickBot="1" x14ac:dyDescent="0.25">
      <c r="B44" s="1579">
        <v>2</v>
      </c>
      <c r="C44" s="1581"/>
      <c r="D44" s="1557">
        <v>5</v>
      </c>
      <c r="J44" s="1660" t="s">
        <v>811</v>
      </c>
      <c r="K44" s="1217">
        <v>1</v>
      </c>
      <c r="L44" s="1217">
        <v>2</v>
      </c>
      <c r="M44" s="1217">
        <v>5</v>
      </c>
      <c r="N44" s="1217">
        <v>6</v>
      </c>
      <c r="O44" s="1504">
        <v>5</v>
      </c>
      <c r="P44" s="1648">
        <v>19</v>
      </c>
      <c r="Q44" s="2610"/>
      <c r="R44" s="1211">
        <f>O44+N44</f>
        <v>11</v>
      </c>
      <c r="S44" s="1530">
        <f>R44/$S$13</f>
        <v>0.45833333333333331</v>
      </c>
      <c r="T44" s="1504">
        <v>0</v>
      </c>
      <c r="U44" s="1572">
        <f t="shared" si="3"/>
        <v>0</v>
      </c>
    </row>
    <row r="45" spans="2:21" ht="18" thickTop="1" thickBot="1" x14ac:dyDescent="0.25">
      <c r="B45" s="1585">
        <v>25</v>
      </c>
      <c r="C45" s="1586">
        <v>2</v>
      </c>
      <c r="D45" s="1587">
        <v>102</v>
      </c>
      <c r="J45" s="1661" t="s">
        <v>804</v>
      </c>
      <c r="K45" s="1588">
        <v>2</v>
      </c>
      <c r="L45" s="1588">
        <v>8</v>
      </c>
      <c r="M45" s="1588">
        <v>14</v>
      </c>
      <c r="N45" s="1588">
        <v>16</v>
      </c>
      <c r="O45" s="1583">
        <v>8</v>
      </c>
      <c r="P45" s="1637">
        <v>48</v>
      </c>
      <c r="T45" s="1389" t="s">
        <v>128</v>
      </c>
      <c r="U45" s="1624">
        <f>SUM(U42:U44)</f>
        <v>1.7499999999999998E-2</v>
      </c>
    </row>
    <row r="47" spans="2:21" ht="17" thickTop="1" x14ac:dyDescent="0.2">
      <c r="B47" s="1537" t="s">
        <v>817</v>
      </c>
      <c r="C47" s="1538" t="s">
        <v>822</v>
      </c>
      <c r="D47" s="1538" t="s">
        <v>823</v>
      </c>
      <c r="E47" s="1538" t="s">
        <v>824</v>
      </c>
      <c r="F47" s="1538" t="s">
        <v>825</v>
      </c>
      <c r="G47" s="1538" t="s">
        <v>826</v>
      </c>
      <c r="H47" s="1538" t="s">
        <v>827</v>
      </c>
      <c r="I47" s="1538" t="s">
        <v>828</v>
      </c>
      <c r="J47" s="1539" t="s">
        <v>829</v>
      </c>
    </row>
    <row r="48" spans="2:21" x14ac:dyDescent="0.2">
      <c r="B48" s="1531">
        <v>127</v>
      </c>
      <c r="C48" s="1218">
        <f t="shared" ref="C48:D52" si="4">B40/$C$37</f>
        <v>6.8627450980392163E-2</v>
      </c>
      <c r="D48" s="1218">
        <f t="shared" si="4"/>
        <v>0</v>
      </c>
      <c r="E48" s="1218">
        <f>C48*0.3</f>
        <v>2.0588235294117647E-2</v>
      </c>
      <c r="F48" s="1218">
        <f>D48*0.8</f>
        <v>0</v>
      </c>
      <c r="G48" s="1218">
        <f>E48+F48</f>
        <v>2.0588235294117647E-2</v>
      </c>
      <c r="H48" s="1218">
        <f>G48+G49+G50+G51+G52</f>
        <v>8.921568627450982E-2</v>
      </c>
      <c r="I48" s="1499">
        <f>$C$38*H48</f>
        <v>719078.43137254915</v>
      </c>
      <c r="J48" s="1540">
        <f>I48*B48</f>
        <v>91322960.784313738</v>
      </c>
    </row>
    <row r="49" spans="2:10" x14ac:dyDescent="0.2">
      <c r="B49" s="1531">
        <v>140</v>
      </c>
      <c r="C49" s="1218">
        <f t="shared" si="4"/>
        <v>4.9019607843137254E-2</v>
      </c>
      <c r="D49" s="1218">
        <f t="shared" si="4"/>
        <v>9.8039215686274508E-3</v>
      </c>
      <c r="E49" s="1218">
        <f>C49*0.3</f>
        <v>1.4705882352941176E-2</v>
      </c>
      <c r="F49" s="1218">
        <f>D49*0.8</f>
        <v>7.8431372549019607E-3</v>
      </c>
      <c r="G49" s="1218">
        <f>E49+F49</f>
        <v>2.2549019607843137E-2</v>
      </c>
      <c r="H49" s="1218">
        <f>G49+G50+G51+G52</f>
        <v>6.8627450980392163E-2</v>
      </c>
      <c r="I49" s="1499">
        <f>$C$38*H49</f>
        <v>553137.25490196084</v>
      </c>
      <c r="J49" s="1540">
        <f>I49*B49</f>
        <v>77439215.686274514</v>
      </c>
    </row>
    <row r="50" spans="2:10" x14ac:dyDescent="0.2">
      <c r="B50" s="1531">
        <v>153</v>
      </c>
      <c r="C50" s="1218">
        <f t="shared" si="4"/>
        <v>8.8235294117647065E-2</v>
      </c>
      <c r="D50" s="1218">
        <f t="shared" si="4"/>
        <v>0</v>
      </c>
      <c r="E50" s="1218">
        <f>C50*0.3</f>
        <v>2.6470588235294117E-2</v>
      </c>
      <c r="F50" s="1218">
        <f>D50*0.8</f>
        <v>0</v>
      </c>
      <c r="G50" s="1218">
        <f>E50+F50</f>
        <v>2.6470588235294117E-2</v>
      </c>
      <c r="H50" s="1218">
        <f>G50+G51+G52</f>
        <v>4.6078431372549015E-2</v>
      </c>
      <c r="I50" s="1499">
        <f>$C$38*H50</f>
        <v>371392.15686274506</v>
      </c>
      <c r="J50" s="1540">
        <f>I50*B50</f>
        <v>56822999.999999993</v>
      </c>
    </row>
    <row r="51" spans="2:10" x14ac:dyDescent="0.2">
      <c r="B51" s="1531">
        <v>166</v>
      </c>
      <c r="C51" s="1218">
        <f t="shared" si="4"/>
        <v>1.9607843137254902E-2</v>
      </c>
      <c r="D51" s="1218">
        <f t="shared" si="4"/>
        <v>9.8039215686274508E-3</v>
      </c>
      <c r="E51" s="1218">
        <f>C51*0.3</f>
        <v>5.8823529411764705E-3</v>
      </c>
      <c r="F51" s="1218">
        <f>D51*0.8</f>
        <v>7.8431372549019607E-3</v>
      </c>
      <c r="G51" s="1218">
        <f>E51+F51</f>
        <v>1.3725490196078431E-2</v>
      </c>
      <c r="H51" s="1218">
        <f>G51+G52</f>
        <v>1.9607843137254902E-2</v>
      </c>
      <c r="I51" s="1499">
        <f>$C$38*H51</f>
        <v>158039.21568627452</v>
      </c>
      <c r="J51" s="1540">
        <f>I51*B51</f>
        <v>26234509.803921569</v>
      </c>
    </row>
    <row r="52" spans="2:10" ht="18.75" customHeight="1" thickBot="1" x14ac:dyDescent="0.25">
      <c r="B52" s="1543">
        <v>179</v>
      </c>
      <c r="C52" s="1530">
        <f t="shared" si="4"/>
        <v>1.9607843137254902E-2</v>
      </c>
      <c r="D52" s="1530">
        <f t="shared" si="4"/>
        <v>0</v>
      </c>
      <c r="E52" s="1530">
        <f>C52*0.3</f>
        <v>5.8823529411764705E-3</v>
      </c>
      <c r="F52" s="1530">
        <f>D52*0.8</f>
        <v>0</v>
      </c>
      <c r="G52" s="1530">
        <f>E52+F52</f>
        <v>5.8823529411764705E-3</v>
      </c>
      <c r="H52" s="1530">
        <f>G52</f>
        <v>5.8823529411764705E-3</v>
      </c>
      <c r="I52" s="1541">
        <f>$C$38*H52</f>
        <v>47411.76470588235</v>
      </c>
      <c r="J52" s="1542">
        <f>I52*B52</f>
        <v>8486705.8823529407</v>
      </c>
    </row>
    <row r="53" spans="2:10" ht="18.75" customHeight="1" thickTop="1" x14ac:dyDescent="0.2">
      <c r="B53"/>
      <c r="C53" s="1218"/>
      <c r="D53" s="1218"/>
      <c r="E53" s="1218"/>
      <c r="F53" s="1218"/>
      <c r="G53" s="1218"/>
      <c r="H53" s="1218"/>
      <c r="I53" s="1499"/>
      <c r="J53" s="1645"/>
    </row>
    <row r="54" spans="2:10" ht="18.75" customHeight="1" x14ac:dyDescent="0.2">
      <c r="B54"/>
      <c r="C54" s="1218"/>
      <c r="D54" s="1218"/>
      <c r="E54" s="1218"/>
      <c r="F54" s="1218"/>
      <c r="G54" s="1218"/>
      <c r="H54" s="1218"/>
      <c r="I54" s="1499"/>
      <c r="J54" s="1645"/>
    </row>
    <row r="55" spans="2:10" ht="18.75" customHeight="1" x14ac:dyDescent="0.2">
      <c r="B55"/>
      <c r="C55" s="1218"/>
      <c r="D55" s="1218"/>
      <c r="E55" s="1218"/>
      <c r="F55" s="1218"/>
      <c r="G55" s="1218"/>
      <c r="H55" s="1218"/>
      <c r="I55" s="1499"/>
      <c r="J55" s="1645"/>
    </row>
    <row r="56" spans="2:10" ht="18.75" customHeight="1" x14ac:dyDescent="0.2">
      <c r="B56"/>
      <c r="C56" s="1218"/>
      <c r="D56" s="1218"/>
      <c r="E56" s="1218"/>
      <c r="F56" s="1218"/>
      <c r="G56" s="1218"/>
      <c r="H56" s="1218"/>
      <c r="I56" s="1499"/>
      <c r="J56" s="1645"/>
    </row>
    <row r="57" spans="2:10" ht="18.75" customHeight="1" x14ac:dyDescent="0.2">
      <c r="B57"/>
      <c r="C57" s="1218"/>
      <c r="D57" s="1218"/>
      <c r="E57" s="1218"/>
      <c r="F57" s="1218"/>
      <c r="G57" s="1218"/>
      <c r="H57" s="1218"/>
      <c r="I57" s="1499"/>
      <c r="J57" s="1645"/>
    </row>
    <row r="58" spans="2:10" ht="18.75" customHeight="1" x14ac:dyDescent="0.2">
      <c r="B58"/>
      <c r="C58" s="1218"/>
      <c r="D58" s="1218"/>
      <c r="E58" s="1218"/>
      <c r="F58" s="1218"/>
      <c r="G58" s="1218"/>
      <c r="H58" s="1218"/>
      <c r="I58" s="1499"/>
      <c r="J58" s="1645"/>
    </row>
    <row r="59" spans="2:10" ht="18.75" customHeight="1" x14ac:dyDescent="0.2">
      <c r="B59"/>
      <c r="C59" s="1218"/>
      <c r="D59" s="1218"/>
      <c r="E59" s="1218"/>
      <c r="F59" s="1218"/>
      <c r="G59" s="1218"/>
      <c r="H59" s="1218"/>
      <c r="I59" s="1499"/>
      <c r="J59" s="1645"/>
    </row>
    <row r="60" spans="2:10" ht="18.75" customHeight="1" x14ac:dyDescent="0.2">
      <c r="B60"/>
      <c r="C60" s="1218"/>
      <c r="D60" s="1218"/>
      <c r="E60" s="1218"/>
      <c r="F60" s="1218"/>
      <c r="G60" s="1218"/>
      <c r="H60" s="1218"/>
      <c r="I60" s="1499"/>
      <c r="J60" s="1645"/>
    </row>
    <row r="61" spans="2:10" ht="18.75" customHeight="1" x14ac:dyDescent="0.2">
      <c r="B61"/>
      <c r="C61" s="1218"/>
      <c r="D61" s="1218"/>
      <c r="E61" s="1218"/>
      <c r="F61" s="1218"/>
      <c r="G61" s="1218"/>
      <c r="H61" s="1218"/>
      <c r="I61" s="1499"/>
      <c r="J61" s="1645"/>
    </row>
    <row r="62" spans="2:10" ht="18.75" customHeight="1" x14ac:dyDescent="0.2">
      <c r="B62"/>
      <c r="C62" s="1218"/>
      <c r="D62" s="1218"/>
      <c r="E62" s="1218"/>
      <c r="F62" s="1218"/>
      <c r="G62" s="1218"/>
      <c r="H62" s="1218"/>
      <c r="I62" s="1499"/>
      <c r="J62" s="1645"/>
    </row>
    <row r="63" spans="2:10" ht="18.75" customHeight="1" x14ac:dyDescent="0.2">
      <c r="B63"/>
      <c r="C63" s="1218"/>
      <c r="D63" s="1218"/>
      <c r="E63" s="1218"/>
      <c r="F63" s="1218"/>
      <c r="G63" s="1218"/>
      <c r="H63" s="1218"/>
      <c r="I63" s="1499"/>
      <c r="J63" s="1645"/>
    </row>
    <row r="64" spans="2:10" ht="18.75" customHeight="1" x14ac:dyDescent="0.2">
      <c r="B64"/>
      <c r="C64" s="1218"/>
      <c r="D64" s="1218"/>
      <c r="E64" s="1218"/>
      <c r="F64" s="1218"/>
      <c r="G64" s="1218"/>
      <c r="H64" s="1218"/>
      <c r="I64" s="1499"/>
      <c r="J64" s="1645"/>
    </row>
    <row r="65" spans="2:15" ht="18.75" customHeight="1" x14ac:dyDescent="0.2">
      <c r="B65"/>
      <c r="C65" s="1218"/>
      <c r="D65" s="1218"/>
      <c r="E65" s="1218"/>
      <c r="F65" s="1218"/>
      <c r="G65" s="1218"/>
      <c r="H65" s="1218"/>
      <c r="I65" s="1499"/>
      <c r="J65" s="1645"/>
    </row>
    <row r="66" spans="2:15" ht="18.75" customHeight="1" x14ac:dyDescent="0.2">
      <c r="B66"/>
      <c r="C66" s="1218"/>
      <c r="D66" s="1218"/>
      <c r="E66" s="1218"/>
      <c r="F66" s="1218"/>
      <c r="G66" s="1218"/>
      <c r="H66" s="1218"/>
      <c r="I66" s="1499"/>
      <c r="J66" s="1645"/>
    </row>
    <row r="67" spans="2:15" ht="17" thickBot="1" x14ac:dyDescent="0.25">
      <c r="J67" s="1499"/>
    </row>
    <row r="68" spans="2:15" ht="18" thickTop="1" thickBot="1" x14ac:dyDescent="0.25">
      <c r="B68" s="2792" t="s">
        <v>830</v>
      </c>
      <c r="C68" s="2793"/>
      <c r="D68"/>
      <c r="K68" s="1645"/>
    </row>
    <row r="69" spans="2:15" ht="17" thickTop="1" x14ac:dyDescent="0.2">
      <c r="B69" s="1561" t="s">
        <v>817</v>
      </c>
      <c r="C69" s="1549" t="s">
        <v>799</v>
      </c>
      <c r="D69" s="1549" t="s">
        <v>800</v>
      </c>
      <c r="E69" s="1549" t="s">
        <v>801</v>
      </c>
      <c r="F69" s="1549" t="s">
        <v>802</v>
      </c>
      <c r="G69" s="1574" t="s">
        <v>803</v>
      </c>
      <c r="H69" s="1550" t="s">
        <v>804</v>
      </c>
    </row>
    <row r="70" spans="2:15" x14ac:dyDescent="0.2">
      <c r="B70" s="1551">
        <v>127</v>
      </c>
      <c r="C70" s="1217"/>
      <c r="D70" s="1217">
        <v>2</v>
      </c>
      <c r="E70" s="1217">
        <v>4</v>
      </c>
      <c r="F70" s="1217">
        <v>4</v>
      </c>
      <c r="G70" s="1504">
        <v>4</v>
      </c>
      <c r="H70" s="1496">
        <v>14</v>
      </c>
    </row>
    <row r="71" spans="2:15" x14ac:dyDescent="0.2">
      <c r="B71" s="1551">
        <v>140</v>
      </c>
      <c r="C71" s="1217">
        <v>1</v>
      </c>
      <c r="D71" s="1217">
        <v>4</v>
      </c>
      <c r="E71" s="1217">
        <v>4</v>
      </c>
      <c r="F71" s="1217">
        <v>4</v>
      </c>
      <c r="G71" s="1504"/>
      <c r="H71" s="1496">
        <v>13</v>
      </c>
    </row>
    <row r="72" spans="2:15" x14ac:dyDescent="0.2">
      <c r="B72" s="1551">
        <v>153</v>
      </c>
      <c r="C72" s="1217">
        <v>1</v>
      </c>
      <c r="D72" s="1217">
        <v>2</v>
      </c>
      <c r="E72" s="1217">
        <v>5</v>
      </c>
      <c r="F72" s="1217">
        <v>4</v>
      </c>
      <c r="G72" s="1504">
        <v>2</v>
      </c>
      <c r="H72" s="1496">
        <v>14</v>
      </c>
    </row>
    <row r="73" spans="2:15" x14ac:dyDescent="0.2">
      <c r="B73" s="1551">
        <v>166</v>
      </c>
      <c r="C73" s="1217"/>
      <c r="D73" s="1217"/>
      <c r="E73" s="1217">
        <v>1</v>
      </c>
      <c r="F73" s="1217">
        <v>2</v>
      </c>
      <c r="G73" s="1504">
        <v>1</v>
      </c>
      <c r="H73" s="1496">
        <v>4</v>
      </c>
    </row>
    <row r="74" spans="2:15" ht="17" thickBot="1" x14ac:dyDescent="0.25">
      <c r="B74" s="1584">
        <v>179</v>
      </c>
      <c r="C74" s="1556"/>
      <c r="D74" s="1556"/>
      <c r="E74" s="1556"/>
      <c r="F74" s="1556">
        <v>2</v>
      </c>
      <c r="G74" s="1581">
        <v>1</v>
      </c>
      <c r="H74" s="1557">
        <v>3</v>
      </c>
    </row>
    <row r="75" spans="2:15" ht="18" thickTop="1" thickBot="1" x14ac:dyDescent="0.25">
      <c r="B75" s="1552" t="s">
        <v>804</v>
      </c>
      <c r="C75" s="1553">
        <v>2</v>
      </c>
      <c r="D75" s="1553">
        <v>8</v>
      </c>
      <c r="E75" s="1553">
        <v>14</v>
      </c>
      <c r="F75" s="1553">
        <v>16</v>
      </c>
      <c r="G75" s="1553">
        <v>8</v>
      </c>
      <c r="H75" s="1587">
        <v>48</v>
      </c>
    </row>
    <row r="76" spans="2:15" ht="18" thickTop="1" thickBot="1" x14ac:dyDescent="0.25">
      <c r="B76"/>
      <c r="C76"/>
      <c r="D76"/>
      <c r="E76"/>
      <c r="F76"/>
      <c r="G76"/>
      <c r="H76"/>
    </row>
    <row r="77" spans="2:15" ht="17" thickTop="1" x14ac:dyDescent="0.2">
      <c r="B77" s="1547" t="s">
        <v>820</v>
      </c>
      <c r="C77" s="1159">
        <v>48</v>
      </c>
      <c r="E77"/>
      <c r="F77"/>
      <c r="G77"/>
      <c r="H77"/>
      <c r="I77"/>
      <c r="J77"/>
    </row>
    <row r="78" spans="2:15" ht="17" thickBot="1" x14ac:dyDescent="0.25">
      <c r="B78" s="1546" t="s">
        <v>821</v>
      </c>
      <c r="C78" s="1492">
        <v>12020000</v>
      </c>
      <c r="E78"/>
      <c r="F78"/>
      <c r="G78"/>
      <c r="H78"/>
      <c r="I78"/>
      <c r="J78"/>
      <c r="K78"/>
    </row>
    <row r="79" spans="2:15" ht="17" thickTop="1" x14ac:dyDescent="0.2">
      <c r="B79" s="1582" t="s">
        <v>802</v>
      </c>
      <c r="C79" s="1574" t="s">
        <v>803</v>
      </c>
      <c r="D79" s="1550" t="s">
        <v>804</v>
      </c>
      <c r="E79"/>
      <c r="F79"/>
      <c r="G79"/>
      <c r="H79"/>
      <c r="I79"/>
      <c r="J79"/>
      <c r="K79"/>
      <c r="L79"/>
      <c r="M79"/>
      <c r="N79"/>
      <c r="O79"/>
    </row>
    <row r="80" spans="2:15" x14ac:dyDescent="0.2">
      <c r="B80" s="1578">
        <v>4</v>
      </c>
      <c r="C80" s="1504">
        <v>4</v>
      </c>
      <c r="D80" s="1496">
        <v>14</v>
      </c>
      <c r="E80"/>
      <c r="F80"/>
      <c r="G80"/>
      <c r="H80"/>
      <c r="I80"/>
      <c r="J80"/>
      <c r="K80"/>
      <c r="L80"/>
      <c r="M80"/>
      <c r="N80"/>
      <c r="O80"/>
    </row>
    <row r="81" spans="2:15" x14ac:dyDescent="0.2">
      <c r="B81" s="1578">
        <v>4</v>
      </c>
      <c r="C81" s="1504"/>
      <c r="D81" s="1496">
        <v>13</v>
      </c>
      <c r="K81"/>
      <c r="L81"/>
      <c r="M81"/>
      <c r="N81"/>
      <c r="O81"/>
    </row>
    <row r="82" spans="2:15" x14ac:dyDescent="0.2">
      <c r="B82" s="1578">
        <v>4</v>
      </c>
      <c r="C82" s="1504">
        <v>2</v>
      </c>
      <c r="D82" s="1496">
        <v>14</v>
      </c>
      <c r="L82"/>
      <c r="M82"/>
      <c r="N82"/>
      <c r="O82"/>
    </row>
    <row r="83" spans="2:15" x14ac:dyDescent="0.2">
      <c r="B83" s="1578">
        <v>2</v>
      </c>
      <c r="C83" s="1504">
        <v>1</v>
      </c>
      <c r="D83" s="1496">
        <v>4</v>
      </c>
    </row>
    <row r="84" spans="2:15" ht="17" thickBot="1" x14ac:dyDescent="0.25">
      <c r="B84" s="1579">
        <v>2</v>
      </c>
      <c r="C84" s="1581">
        <v>1</v>
      </c>
      <c r="D84" s="1557">
        <v>3</v>
      </c>
    </row>
    <row r="85" spans="2:15" ht="15.75" customHeight="1" thickTop="1" thickBot="1" x14ac:dyDescent="0.25">
      <c r="B85" s="1585">
        <v>16</v>
      </c>
      <c r="C85" s="1586">
        <v>8</v>
      </c>
      <c r="D85" s="1587">
        <v>48</v>
      </c>
    </row>
    <row r="87" spans="2:15" ht="17" thickTop="1" x14ac:dyDescent="0.2">
      <c r="B87" s="1561" t="s">
        <v>817</v>
      </c>
      <c r="C87" s="1549" t="s">
        <v>822</v>
      </c>
      <c r="D87" s="1549" t="s">
        <v>823</v>
      </c>
      <c r="E87" s="1549" t="s">
        <v>824</v>
      </c>
      <c r="F87" s="1549" t="s">
        <v>825</v>
      </c>
      <c r="G87" s="1549" t="s">
        <v>826</v>
      </c>
      <c r="H87" s="1549" t="s">
        <v>827</v>
      </c>
      <c r="I87" s="1549" t="s">
        <v>828</v>
      </c>
      <c r="J87" s="1550" t="s">
        <v>829</v>
      </c>
    </row>
    <row r="88" spans="2:15" x14ac:dyDescent="0.2">
      <c r="B88" s="1551">
        <v>127</v>
      </c>
      <c r="C88" s="1218">
        <f t="shared" ref="C88:D92" si="5">B80/$C$77</f>
        <v>8.3333333333333329E-2</v>
      </c>
      <c r="D88" s="1218">
        <f t="shared" si="5"/>
        <v>8.3333333333333329E-2</v>
      </c>
      <c r="E88" s="1218">
        <f>C88*0.3</f>
        <v>2.4999999999999998E-2</v>
      </c>
      <c r="F88" s="1218">
        <f>D88*0.8</f>
        <v>6.6666666666666666E-2</v>
      </c>
      <c r="G88" s="1218">
        <f>E88+F88</f>
        <v>9.166666666666666E-2</v>
      </c>
      <c r="H88" s="1218">
        <f>SUM(G88:G92)</f>
        <v>0.23333333333333334</v>
      </c>
      <c r="I88" s="1499">
        <f>C78*H88</f>
        <v>2804666.6666666665</v>
      </c>
      <c r="J88" s="1540">
        <f>I88*B88</f>
        <v>356192666.66666663</v>
      </c>
    </row>
    <row r="89" spans="2:15" x14ac:dyDescent="0.2">
      <c r="B89" s="1551">
        <v>140</v>
      </c>
      <c r="C89" s="1218">
        <f t="shared" si="5"/>
        <v>8.3333333333333329E-2</v>
      </c>
      <c r="D89" s="1218">
        <f t="shared" si="5"/>
        <v>0</v>
      </c>
      <c r="E89" s="1218">
        <f>C89*0.3</f>
        <v>2.4999999999999998E-2</v>
      </c>
      <c r="F89" s="1218">
        <f>D89*0.8</f>
        <v>0</v>
      </c>
      <c r="G89" s="1218">
        <f>E89+F89</f>
        <v>2.4999999999999998E-2</v>
      </c>
      <c r="H89" s="1218">
        <f>G92+G91+G90+G89</f>
        <v>0.14166666666666666</v>
      </c>
      <c r="I89" s="1499">
        <f>$C$78*H89</f>
        <v>1702833.3333333333</v>
      </c>
      <c r="J89" s="1540">
        <f>I89*B89</f>
        <v>238396666.66666666</v>
      </c>
    </row>
    <row r="90" spans="2:15" x14ac:dyDescent="0.2">
      <c r="B90" s="1551">
        <v>153</v>
      </c>
      <c r="C90" s="1218">
        <f t="shared" si="5"/>
        <v>8.3333333333333329E-2</v>
      </c>
      <c r="D90" s="1218">
        <f t="shared" si="5"/>
        <v>4.1666666666666664E-2</v>
      </c>
      <c r="E90" s="1218">
        <f>C90*0.3</f>
        <v>2.4999999999999998E-2</v>
      </c>
      <c r="F90" s="1218">
        <f>D90*0.8</f>
        <v>3.3333333333333333E-2</v>
      </c>
      <c r="G90" s="1218">
        <f>E90+F90</f>
        <v>5.8333333333333334E-2</v>
      </c>
      <c r="H90" s="1218">
        <f>G92+G91+G90</f>
        <v>0.11666666666666667</v>
      </c>
      <c r="I90" s="1499">
        <f>$C$78*H90</f>
        <v>1402333.3333333333</v>
      </c>
      <c r="J90" s="1540">
        <f>I90*B90</f>
        <v>214557000</v>
      </c>
    </row>
    <row r="91" spans="2:15" x14ac:dyDescent="0.2">
      <c r="B91" s="1551">
        <v>166</v>
      </c>
      <c r="C91" s="1218">
        <f t="shared" si="5"/>
        <v>4.1666666666666664E-2</v>
      </c>
      <c r="D91" s="1218">
        <f t="shared" si="5"/>
        <v>2.0833333333333332E-2</v>
      </c>
      <c r="E91" s="1218">
        <f>C91*0.3</f>
        <v>1.2499999999999999E-2</v>
      </c>
      <c r="F91" s="1218">
        <f>D91*0.8</f>
        <v>1.6666666666666666E-2</v>
      </c>
      <c r="G91" s="1218">
        <f>E91+F91</f>
        <v>2.9166666666666667E-2</v>
      </c>
      <c r="H91" s="1218">
        <f>G92+G91</f>
        <v>5.8333333333333334E-2</v>
      </c>
      <c r="I91" s="1499">
        <f>$C$78*H91</f>
        <v>701166.66666666663</v>
      </c>
      <c r="J91" s="1540">
        <f>I91*B91</f>
        <v>116393666.66666666</v>
      </c>
    </row>
    <row r="92" spans="2:15" ht="17" thickBot="1" x14ac:dyDescent="0.25">
      <c r="B92" s="1646">
        <v>179</v>
      </c>
      <c r="C92" s="1530">
        <f t="shared" si="5"/>
        <v>4.1666666666666664E-2</v>
      </c>
      <c r="D92" s="1530">
        <f t="shared" si="5"/>
        <v>2.0833333333333332E-2</v>
      </c>
      <c r="E92" s="1530">
        <f>C92*0.3</f>
        <v>1.2499999999999999E-2</v>
      </c>
      <c r="F92" s="1530">
        <f>D92*0.8</f>
        <v>1.6666666666666666E-2</v>
      </c>
      <c r="G92" s="1530">
        <f>E92+F92</f>
        <v>2.9166666666666667E-2</v>
      </c>
      <c r="H92" s="1530">
        <f>G92</f>
        <v>2.9166666666666667E-2</v>
      </c>
      <c r="I92" s="1541">
        <f>$C$78*H92</f>
        <v>350583.33333333331</v>
      </c>
      <c r="J92" s="1542">
        <f>I92*B92</f>
        <v>62754416.666666664</v>
      </c>
    </row>
    <row r="93" spans="2:15" ht="17" thickTop="1" x14ac:dyDescent="0.2">
      <c r="N93" s="1217"/>
    </row>
    <row r="94" spans="2:15" x14ac:dyDescent="0.2">
      <c r="N94" s="1217"/>
    </row>
    <row r="95" spans="2:15" x14ac:dyDescent="0.2">
      <c r="N95" s="1217"/>
    </row>
    <row r="96" spans="2:15" x14ac:dyDescent="0.2">
      <c r="N96" s="1217"/>
    </row>
    <row r="97" spans="10:16" x14ac:dyDescent="0.2">
      <c r="N97" s="1217"/>
    </row>
    <row r="107" spans="10:16" x14ac:dyDescent="0.2">
      <c r="J107" s="2610"/>
    </row>
    <row r="108" spans="10:16" x14ac:dyDescent="0.2">
      <c r="K108" s="2610"/>
    </row>
    <row r="110" spans="10:16" x14ac:dyDescent="0.2">
      <c r="P110" s="745" t="s">
        <v>831</v>
      </c>
    </row>
  </sheetData>
  <mergeCells count="2">
    <mergeCell ref="B28:C28"/>
    <mergeCell ref="B68:C68"/>
  </mergeCells>
  <phoneticPr fontId="59" type="noConversion"/>
  <hyperlinks>
    <hyperlink ref="A2" location="index!A1" display="Index"/>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5"/>
  <sheetViews>
    <sheetView showGridLines="0" tabSelected="1" workbookViewId="0">
      <selection activeCell="E38" sqref="E38"/>
    </sheetView>
  </sheetViews>
  <sheetFormatPr baseColWidth="10" defaultColWidth="11" defaultRowHeight="16" x14ac:dyDescent="0.2"/>
  <cols>
    <col min="1" max="1" width="6.1640625" style="2" customWidth="1"/>
    <col min="2" max="2" width="7.5" style="1254" customWidth="1"/>
    <col min="3" max="3" width="33.83203125" style="2" customWidth="1"/>
    <col min="4" max="16384" width="11" style="2"/>
  </cols>
  <sheetData>
    <row r="1" spans="2:4" x14ac:dyDescent="0.2">
      <c r="B1" s="696"/>
    </row>
    <row r="2" spans="2:4" ht="23.25" customHeight="1" thickTop="1" thickBot="1" x14ac:dyDescent="0.25">
      <c r="B2" s="2769" t="s">
        <v>8</v>
      </c>
      <c r="C2" s="2770"/>
      <c r="D2" s="2" t="s">
        <v>9</v>
      </c>
    </row>
    <row r="3" spans="2:4" x14ac:dyDescent="0.2">
      <c r="B3" s="2956">
        <v>1</v>
      </c>
      <c r="C3" s="2957" t="s">
        <v>10</v>
      </c>
    </row>
    <row r="4" spans="2:4" x14ac:dyDescent="0.2">
      <c r="B4" s="2958">
        <f>B3+1</f>
        <v>2</v>
      </c>
      <c r="C4" s="2959" t="s">
        <v>11</v>
      </c>
    </row>
    <row r="5" spans="2:4" x14ac:dyDescent="0.2">
      <c r="B5" s="2958">
        <f t="shared" ref="B5:B29" si="0">B4+1</f>
        <v>3</v>
      </c>
      <c r="C5" s="2959" t="s">
        <v>12</v>
      </c>
    </row>
    <row r="6" spans="2:4" x14ac:dyDescent="0.2">
      <c r="B6" s="2958">
        <f t="shared" si="0"/>
        <v>4</v>
      </c>
      <c r="C6" s="2959" t="s">
        <v>13</v>
      </c>
    </row>
    <row r="7" spans="2:4" x14ac:dyDescent="0.2">
      <c r="B7" s="2958">
        <f t="shared" si="0"/>
        <v>5</v>
      </c>
      <c r="C7" s="2959" t="s">
        <v>14</v>
      </c>
    </row>
    <row r="8" spans="2:4" x14ac:dyDescent="0.2">
      <c r="B8" s="2958">
        <f t="shared" si="0"/>
        <v>6</v>
      </c>
      <c r="C8" s="2959" t="s">
        <v>15</v>
      </c>
    </row>
    <row r="9" spans="2:4" x14ac:dyDescent="0.2">
      <c r="B9" s="2958">
        <f t="shared" si="0"/>
        <v>7</v>
      </c>
      <c r="C9" s="2959" t="s">
        <v>16</v>
      </c>
    </row>
    <row r="10" spans="2:4" x14ac:dyDescent="0.2">
      <c r="B10" s="2958">
        <f t="shared" si="0"/>
        <v>8</v>
      </c>
      <c r="C10" s="2959" t="s">
        <v>17</v>
      </c>
    </row>
    <row r="11" spans="2:4" x14ac:dyDescent="0.2">
      <c r="B11" s="2958">
        <f t="shared" si="0"/>
        <v>9</v>
      </c>
      <c r="C11" s="2959" t="s">
        <v>18</v>
      </c>
    </row>
    <row r="12" spans="2:4" x14ac:dyDescent="0.2">
      <c r="B12" s="2958">
        <f t="shared" si="0"/>
        <v>10</v>
      </c>
      <c r="C12" s="2959" t="s">
        <v>19</v>
      </c>
    </row>
    <row r="13" spans="2:4" x14ac:dyDescent="0.2">
      <c r="B13" s="2958">
        <f t="shared" si="0"/>
        <v>11</v>
      </c>
      <c r="C13" s="2959" t="s">
        <v>20</v>
      </c>
    </row>
    <row r="14" spans="2:4" x14ac:dyDescent="0.2">
      <c r="B14" s="2958">
        <f t="shared" si="0"/>
        <v>12</v>
      </c>
      <c r="C14" s="2959" t="s">
        <v>21</v>
      </c>
    </row>
    <row r="15" spans="2:4" x14ac:dyDescent="0.2">
      <c r="B15" s="2960">
        <f t="shared" si="0"/>
        <v>13</v>
      </c>
      <c r="C15" s="2959" t="s">
        <v>22</v>
      </c>
    </row>
    <row r="16" spans="2:4" x14ac:dyDescent="0.2">
      <c r="B16" s="2960">
        <f t="shared" si="0"/>
        <v>14</v>
      </c>
      <c r="C16" s="2959" t="s">
        <v>23</v>
      </c>
    </row>
    <row r="17" spans="2:3" x14ac:dyDescent="0.2">
      <c r="B17" s="2960">
        <f t="shared" si="0"/>
        <v>15</v>
      </c>
      <c r="C17" s="2959" t="s">
        <v>24</v>
      </c>
    </row>
    <row r="18" spans="2:3" x14ac:dyDescent="0.2">
      <c r="B18" s="2960">
        <f t="shared" si="0"/>
        <v>16</v>
      </c>
      <c r="C18" s="2959" t="s">
        <v>25</v>
      </c>
    </row>
    <row r="19" spans="2:3" x14ac:dyDescent="0.2">
      <c r="B19" s="2960">
        <f t="shared" si="0"/>
        <v>17</v>
      </c>
      <c r="C19" s="2959" t="s">
        <v>26</v>
      </c>
    </row>
    <row r="20" spans="2:3" x14ac:dyDescent="0.2">
      <c r="B20" s="2960">
        <f t="shared" si="0"/>
        <v>18</v>
      </c>
      <c r="C20" s="2959" t="s">
        <v>27</v>
      </c>
    </row>
    <row r="21" spans="2:3" x14ac:dyDescent="0.2">
      <c r="B21" s="2961">
        <f t="shared" si="0"/>
        <v>19</v>
      </c>
      <c r="C21" s="2959" t="s">
        <v>28</v>
      </c>
    </row>
    <row r="22" spans="2:3" x14ac:dyDescent="0.2">
      <c r="B22" s="2961">
        <f t="shared" si="0"/>
        <v>20</v>
      </c>
      <c r="C22" s="2959" t="s">
        <v>29</v>
      </c>
    </row>
    <row r="23" spans="2:3" x14ac:dyDescent="0.2">
      <c r="B23" s="2961">
        <f t="shared" si="0"/>
        <v>21</v>
      </c>
      <c r="C23" s="2959" t="s">
        <v>30</v>
      </c>
    </row>
    <row r="24" spans="2:3" x14ac:dyDescent="0.2">
      <c r="B24" s="2961">
        <f t="shared" si="0"/>
        <v>22</v>
      </c>
      <c r="C24" s="2959" t="s">
        <v>31</v>
      </c>
    </row>
    <row r="25" spans="2:3" x14ac:dyDescent="0.2">
      <c r="B25" s="2961">
        <f t="shared" si="0"/>
        <v>23</v>
      </c>
      <c r="C25" s="2959" t="s">
        <v>32</v>
      </c>
    </row>
    <row r="26" spans="2:3" x14ac:dyDescent="0.2">
      <c r="B26" s="2961">
        <f t="shared" si="0"/>
        <v>24</v>
      </c>
      <c r="C26" s="2959" t="s">
        <v>33</v>
      </c>
    </row>
    <row r="27" spans="2:3" x14ac:dyDescent="0.2">
      <c r="B27" s="2961">
        <f t="shared" si="0"/>
        <v>25</v>
      </c>
      <c r="C27" s="2959" t="s">
        <v>34</v>
      </c>
    </row>
    <row r="28" spans="2:3" x14ac:dyDescent="0.2">
      <c r="B28" s="2961">
        <f t="shared" si="0"/>
        <v>26</v>
      </c>
      <c r="C28" s="2959" t="s">
        <v>35</v>
      </c>
    </row>
    <row r="29" spans="2:3" x14ac:dyDescent="0.2">
      <c r="B29" s="2962">
        <f t="shared" si="0"/>
        <v>27</v>
      </c>
      <c r="C29" s="2959" t="s">
        <v>37</v>
      </c>
    </row>
    <row r="30" spans="2:3" x14ac:dyDescent="0.2">
      <c r="B30" s="2962">
        <v>29</v>
      </c>
      <c r="C30" s="2963" t="s">
        <v>1478</v>
      </c>
    </row>
    <row r="31" spans="2:3" x14ac:dyDescent="0.2">
      <c r="B31" s="2962">
        <v>30</v>
      </c>
      <c r="C31" s="2963" t="s">
        <v>1489</v>
      </c>
    </row>
    <row r="32" spans="2:3" x14ac:dyDescent="0.2">
      <c r="B32" s="2962">
        <v>31</v>
      </c>
      <c r="C32" s="2963" t="s">
        <v>1479</v>
      </c>
    </row>
    <row r="33" spans="2:3" x14ac:dyDescent="0.2">
      <c r="B33" s="2962">
        <v>32</v>
      </c>
      <c r="C33" s="2959" t="s">
        <v>36</v>
      </c>
    </row>
    <row r="34" spans="2:3" x14ac:dyDescent="0.2">
      <c r="B34" s="2962">
        <v>33</v>
      </c>
      <c r="C34" s="2963" t="s">
        <v>1491</v>
      </c>
    </row>
    <row r="35" spans="2:3" x14ac:dyDescent="0.2">
      <c r="B35" s="2962">
        <v>34</v>
      </c>
      <c r="C35" s="2959" t="s">
        <v>1490</v>
      </c>
    </row>
    <row r="36" spans="2:3" x14ac:dyDescent="0.2">
      <c r="B36" s="2960">
        <v>35</v>
      </c>
      <c r="C36" s="2959" t="s">
        <v>22</v>
      </c>
    </row>
    <row r="37" spans="2:3" x14ac:dyDescent="0.2">
      <c r="B37" s="2960">
        <v>36</v>
      </c>
      <c r="C37" s="2959" t="s">
        <v>24</v>
      </c>
    </row>
    <row r="38" spans="2:3" x14ac:dyDescent="0.2">
      <c r="B38" s="2960">
        <v>37</v>
      </c>
      <c r="C38" s="2959" t="s">
        <v>25</v>
      </c>
    </row>
    <row r="39" spans="2:3" x14ac:dyDescent="0.2">
      <c r="B39" s="2961">
        <v>38</v>
      </c>
      <c r="C39" s="2959" t="s">
        <v>28</v>
      </c>
    </row>
    <row r="40" spans="2:3" x14ac:dyDescent="0.2">
      <c r="B40" s="2961">
        <v>39</v>
      </c>
      <c r="C40" s="2959" t="s">
        <v>29</v>
      </c>
    </row>
    <row r="41" spans="2:3" s="149" customFormat="1" x14ac:dyDescent="0.2">
      <c r="B41" s="2962">
        <v>40</v>
      </c>
      <c r="C41" s="2959" t="s">
        <v>1508</v>
      </c>
    </row>
    <row r="42" spans="2:3" s="149" customFormat="1" x14ac:dyDescent="0.2">
      <c r="B42" s="2962">
        <v>41</v>
      </c>
      <c r="C42" s="2959" t="s">
        <v>1507</v>
      </c>
    </row>
    <row r="43" spans="2:3" s="149" customFormat="1" x14ac:dyDescent="0.2">
      <c r="B43" s="2962">
        <v>42</v>
      </c>
      <c r="C43" s="2963" t="s">
        <v>1511</v>
      </c>
    </row>
    <row r="44" spans="2:3" s="149" customFormat="1" x14ac:dyDescent="0.2">
      <c r="B44" s="2962">
        <v>43</v>
      </c>
      <c r="C44" s="2963" t="s">
        <v>1510</v>
      </c>
    </row>
    <row r="45" spans="2:3" s="149" customFormat="1" ht="17" thickBot="1" x14ac:dyDescent="0.25">
      <c r="B45" s="2965">
        <v>44</v>
      </c>
      <c r="C45" s="2964" t="s">
        <v>1509</v>
      </c>
    </row>
  </sheetData>
  <mergeCells count="1">
    <mergeCell ref="B2:C2"/>
  </mergeCells>
  <phoneticPr fontId="59" type="noConversion"/>
  <hyperlinks>
    <hyperlink ref="C3" location="'General Assumptions'!A1" display="General Assumptions"/>
    <hyperlink ref="C4" location="Capacity!A1" display="Capacity"/>
    <hyperlink ref="C5" location="'Aggregate Plan'!A1" display="Aggregate Plan"/>
    <hyperlink ref="C6" location="Inventory!A1" display="Inventory"/>
    <hyperlink ref="C7" location="Logistics!A1" display="Logistics"/>
    <hyperlink ref="C8" location="Salaries!A1" display="Salaries"/>
    <hyperlink ref="C9" location="Location!A1" display="Location"/>
    <hyperlink ref="C10" location="OH!A1" display="Overhead"/>
    <hyperlink ref="C11" location="'Scrap + Defect'!A1" display="Scrap and Defect"/>
    <hyperlink ref="C12" location="HOQ!A1" display="House of Quality"/>
    <hyperlink ref="C13" location="Office!A1" display="Office"/>
    <hyperlink ref="C14" location="IT!A1" display="IT"/>
    <hyperlink ref="C33" location="'Risk mitigation cost'!A1" display="Risk Mitigation Cost"/>
    <hyperlink ref="C17" location="'Purchase intent and price'!A1" display="Purchase Intent and Price"/>
    <hyperlink ref="C19" location="'IMC Schedules'!A1" display="IMC Schedules "/>
    <hyperlink ref="C20" location="'IMC References'!A1" display="IMC References"/>
    <hyperlink ref="C21" location="'FE assumptions'!A1" display="FE Assumptions"/>
    <hyperlink ref="C22" location="'Income Statement'!A1" display="Income Statement"/>
    <hyperlink ref="C23" location="'Balance Sheet'!A1" display="Balance Sheet"/>
    <hyperlink ref="C24" location="Valuation!A1" display="Valuation"/>
    <hyperlink ref="C25" location="Funding!A1" display="Funding"/>
    <hyperlink ref="C26" location="'Break-even analysis'!A1" display="Break-even Analysis"/>
    <hyperlink ref="C27" location="'Depreciation tables'!A1" display="Depreciation Tables"/>
    <hyperlink ref="C28" location="Compco!A1" display="Comparable Companies Analysis "/>
    <hyperlink ref="C29" location="'Influence chart'!A1" display="Influence Chart"/>
    <hyperlink ref="C15" location="'Bases Model (base case)'!A1" display="Bases Model (Base Case)"/>
    <hyperlink ref="C16" location="'Avg.Weighted Manufacturer Price'!A1" display="Avg. Weighted Manufacturer Price"/>
    <hyperlink ref="C18" location="ACV!A1" display="ACV"/>
    <hyperlink ref="C30" location="'Sensitivity Analysis'!A1" display="Sensitivity Analysis"/>
    <hyperlink ref="C31" location="'NPV Calculations for Simulation'!A1" display="NPV Calculations for Simulation"/>
    <hyperlink ref="C32" location="'Simulation before Mitigation'!A1" display="Simulation before Risk Mitigation"/>
    <hyperlink ref="C34" location="'Simulation of The Worst Case'!A1" display="Simulation of The Worst Case"/>
    <hyperlink ref="C36" location="'Bases Model (base case)'!A1" display="Bases Model (Base Case)"/>
    <hyperlink ref="C37" location="'Purchase intent and price'!A1" display="Purchase Intent and Price"/>
    <hyperlink ref="C38" location="ACV!A1" display="ACV"/>
    <hyperlink ref="C39" location="'FE assumptions'!A1" display="FE Assumptions"/>
    <hyperlink ref="C40" location="'Income Statement'!A1" display="Income Statement"/>
    <hyperlink ref="C42" location="'Base Case-after Risk Mitigation'!A1" display="Base Case-After Risk Mitigation"/>
    <hyperlink ref="C43" location="'PI &amp;Price after Risk Mitigation'!A1" display="PI &amp; Price after Mitigation"/>
    <hyperlink ref="C44" location="'FE Assumption after Mitigation'!A1" display="FE Assumption after Risk Mitigation"/>
    <hyperlink ref="C45" location="'IS after Mitigation'!A1" display="Income Statement after Risk Mitigation"/>
    <hyperlink ref="C41" location="'Base Case-Worst Case'!A1" display="Base Case-Worst Cas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P77"/>
  <sheetViews>
    <sheetView workbookViewId="0">
      <selection activeCell="J10" sqref="J10"/>
    </sheetView>
  </sheetViews>
  <sheetFormatPr baseColWidth="10" defaultColWidth="8.83203125" defaultRowHeight="16" x14ac:dyDescent="0.2"/>
  <cols>
    <col min="1" max="1" width="8.83203125" style="2"/>
    <col min="2" max="2" width="40.1640625" style="2" customWidth="1"/>
    <col min="3" max="3" width="12" style="2" bestFit="1" customWidth="1"/>
    <col min="4" max="7" width="13.83203125" style="2" bestFit="1" customWidth="1"/>
    <col min="8" max="8" width="14.6640625" style="2" bestFit="1" customWidth="1"/>
    <col min="9" max="9" width="3.5" style="2" customWidth="1"/>
    <col min="10" max="10" width="19" style="2" customWidth="1"/>
    <col min="11" max="11" width="20.5" style="2" customWidth="1"/>
    <col min="12" max="12" width="9" style="2" bestFit="1" customWidth="1"/>
    <col min="13" max="13" width="8.83203125" style="2"/>
    <col min="14" max="14" width="10.1640625" style="2" bestFit="1" customWidth="1"/>
    <col min="15" max="16384" width="8.83203125" style="2"/>
  </cols>
  <sheetData>
    <row r="1" spans="1:10" ht="17" thickBot="1" x14ac:dyDescent="0.25">
      <c r="A1" s="1771" t="s">
        <v>38</v>
      </c>
    </row>
    <row r="2" spans="1:10" x14ac:dyDescent="0.2">
      <c r="B2" s="2607" t="s">
        <v>1529</v>
      </c>
      <c r="C2" s="2746"/>
      <c r="D2" s="2746"/>
      <c r="E2" s="2746"/>
      <c r="F2" s="2746"/>
      <c r="G2" s="2747"/>
    </row>
    <row r="3" spans="1:10" ht="17" thickBot="1" x14ac:dyDescent="0.25">
      <c r="B3" s="2751" t="s">
        <v>1530</v>
      </c>
      <c r="C3" s="2752"/>
      <c r="D3" s="2752"/>
      <c r="E3" s="2752"/>
      <c r="F3" s="2752"/>
      <c r="G3" s="2750"/>
      <c r="J3" s="3" t="s">
        <v>1133</v>
      </c>
    </row>
    <row r="4" spans="1:10" x14ac:dyDescent="0.2">
      <c r="B4" s="145" t="s">
        <v>1134</v>
      </c>
      <c r="J4" s="1475" t="s">
        <v>1135</v>
      </c>
    </row>
    <row r="5" spans="1:10" x14ac:dyDescent="0.2">
      <c r="B5" s="145" t="s">
        <v>28</v>
      </c>
      <c r="J5" s="1476" t="s">
        <v>1136</v>
      </c>
    </row>
    <row r="6" spans="1:10" x14ac:dyDescent="0.2">
      <c r="B6" s="146" t="s">
        <v>1137</v>
      </c>
      <c r="C6" s="696" t="s">
        <v>1138</v>
      </c>
      <c r="D6" s="696" t="s">
        <v>71</v>
      </c>
      <c r="E6" s="696" t="s">
        <v>72</v>
      </c>
      <c r="F6" s="696" t="s">
        <v>73</v>
      </c>
      <c r="G6" s="696" t="s">
        <v>74</v>
      </c>
      <c r="H6" s="696" t="s">
        <v>75</v>
      </c>
      <c r="J6" s="1482" t="s">
        <v>1139</v>
      </c>
    </row>
    <row r="7" spans="1:10" x14ac:dyDescent="0.2">
      <c r="B7" s="2815" t="s">
        <v>1140</v>
      </c>
      <c r="C7" s="2816"/>
      <c r="D7" s="2816"/>
      <c r="E7" s="2816"/>
      <c r="F7" s="2816"/>
      <c r="G7" s="2816"/>
      <c r="H7" s="2817"/>
    </row>
    <row r="8" spans="1:10" x14ac:dyDescent="0.2">
      <c r="B8" s="831" t="s">
        <v>1141</v>
      </c>
      <c r="C8" s="823"/>
      <c r="D8" s="823"/>
      <c r="E8" s="823"/>
      <c r="F8" s="823"/>
      <c r="G8" s="823"/>
      <c r="H8" s="824"/>
    </row>
    <row r="9" spans="1:10" x14ac:dyDescent="0.2">
      <c r="B9" s="821" t="s">
        <v>1142</v>
      </c>
      <c r="C9" s="2449" t="e">
        <f ca="1">'Depreciation Tables'!$K$4</f>
        <v>#NAME?</v>
      </c>
      <c r="D9" s="147"/>
      <c r="E9" s="147"/>
      <c r="F9" s="147"/>
      <c r="G9" s="147"/>
      <c r="H9" s="796"/>
    </row>
    <row r="10" spans="1:10" x14ac:dyDescent="0.2">
      <c r="B10" s="828" t="s">
        <v>1143</v>
      </c>
      <c r="C10" s="1394"/>
      <c r="D10" s="829"/>
      <c r="E10" s="829"/>
      <c r="F10" s="829"/>
      <c r="G10" s="829"/>
      <c r="H10" s="830"/>
    </row>
    <row r="11" spans="1:10" x14ac:dyDescent="0.2">
      <c r="B11" s="821" t="s">
        <v>1144</v>
      </c>
      <c r="C11" s="2450">
        <v>213283</v>
      </c>
      <c r="D11" s="797"/>
      <c r="E11" s="147"/>
      <c r="F11" s="147"/>
      <c r="G11" s="743"/>
      <c r="H11" s="796"/>
    </row>
    <row r="12" spans="1:10" x14ac:dyDescent="0.2">
      <c r="B12" s="828" t="s">
        <v>1145</v>
      </c>
      <c r="C12" s="1394"/>
      <c r="D12" s="829"/>
      <c r="E12" s="829"/>
      <c r="F12" s="829"/>
      <c r="G12" s="829"/>
      <c r="H12" s="830"/>
    </row>
    <row r="13" spans="1:10" x14ac:dyDescent="0.2">
      <c r="B13" s="821" t="s">
        <v>1146</v>
      </c>
      <c r="C13" s="2447">
        <f>Salaries!$G$18</f>
        <v>42250</v>
      </c>
      <c r="D13" s="147"/>
      <c r="E13" s="147"/>
      <c r="F13" s="147"/>
      <c r="G13" s="147"/>
      <c r="H13" s="796"/>
    </row>
    <row r="14" spans="1:10" x14ac:dyDescent="0.2">
      <c r="B14" s="821" t="s">
        <v>1147</v>
      </c>
      <c r="C14" s="2401">
        <v>10000</v>
      </c>
      <c r="D14" s="147"/>
      <c r="E14" s="147"/>
      <c r="F14" s="147"/>
      <c r="G14" s="147"/>
      <c r="H14" s="796"/>
    </row>
    <row r="15" spans="1:10" x14ac:dyDescent="0.2">
      <c r="B15" s="821" t="s">
        <v>1148</v>
      </c>
      <c r="C15" s="2401" t="e">
        <f ca="1">Capacity!I33</f>
        <v>#NAME?</v>
      </c>
      <c r="D15" s="147"/>
      <c r="E15" s="147"/>
      <c r="F15" s="147"/>
      <c r="G15" s="147"/>
      <c r="H15" s="796"/>
    </row>
    <row r="16" spans="1:10" x14ac:dyDescent="0.2">
      <c r="B16" s="821" t="s">
        <v>1149</v>
      </c>
      <c r="C16" s="2401">
        <f>IT!C33</f>
        <v>58171.28</v>
      </c>
      <c r="D16" s="147"/>
      <c r="E16" s="147"/>
      <c r="F16" s="147"/>
      <c r="G16" s="147"/>
      <c r="H16" s="796"/>
    </row>
    <row r="17" spans="2:8" x14ac:dyDescent="0.2">
      <c r="B17" s="821" t="s">
        <v>1150</v>
      </c>
      <c r="C17" s="2401" t="e">
        <f ca="1">Salaries!$G$12</f>
        <v>#NAME?</v>
      </c>
      <c r="D17" s="147"/>
      <c r="E17" s="147"/>
      <c r="F17" s="147"/>
      <c r="G17" s="147"/>
      <c r="H17" s="796"/>
    </row>
    <row r="18" spans="2:8" ht="17" thickBot="1" x14ac:dyDescent="0.25">
      <c r="B18" s="821" t="s">
        <v>1151</v>
      </c>
      <c r="C18" s="2448">
        <f>OH!$C$12</f>
        <v>68902.383999999991</v>
      </c>
      <c r="D18" s="147"/>
      <c r="E18" s="147"/>
      <c r="F18" s="147"/>
      <c r="G18" s="147"/>
      <c r="H18" s="796"/>
    </row>
    <row r="19" spans="2:8" ht="18" thickTop="1" thickBot="1" x14ac:dyDescent="0.25">
      <c r="B19" s="800" t="s">
        <v>1152</v>
      </c>
      <c r="C19" s="676" t="e">
        <f ca="1">SUM(C13:C18)</f>
        <v>#NAME?</v>
      </c>
      <c r="D19" s="798"/>
      <c r="E19" s="798"/>
      <c r="F19" s="798"/>
      <c r="G19" s="798"/>
      <c r="H19" s="799"/>
    </row>
    <row r="20" spans="2:8" ht="17" thickTop="1" x14ac:dyDescent="0.2">
      <c r="B20" s="149"/>
      <c r="C20" s="149"/>
      <c r="D20" s="816"/>
      <c r="E20" s="816"/>
      <c r="F20" s="816"/>
      <c r="G20" s="816"/>
      <c r="H20" s="816"/>
    </row>
    <row r="21" spans="2:8" x14ac:dyDescent="0.2">
      <c r="B21" s="2815" t="s">
        <v>1153</v>
      </c>
      <c r="C21" s="2816"/>
      <c r="D21" s="2816"/>
      <c r="E21" s="2816"/>
      <c r="F21" s="2816"/>
      <c r="G21" s="2816"/>
      <c r="H21" s="2817"/>
    </row>
    <row r="22" spans="2:8" x14ac:dyDescent="0.2">
      <c r="B22" s="822" t="s">
        <v>1154</v>
      </c>
      <c r="C22" s="823"/>
      <c r="D22" s="823"/>
      <c r="E22" s="823"/>
      <c r="F22" s="823"/>
      <c r="G22" s="823"/>
      <c r="H22" s="824"/>
    </row>
    <row r="23" spans="2:8" x14ac:dyDescent="0.2">
      <c r="B23" s="821" t="s">
        <v>1155</v>
      </c>
      <c r="C23" s="2424"/>
      <c r="D23" s="2444" t="e">
        <f ca="1">'Avg.Weighted Manufacturer Price'!D4*'BASES MODEL (Base Case)'!C$37</f>
        <v>#NAME?</v>
      </c>
      <c r="E23" s="2444" t="e">
        <f ca="1">'Avg.Weighted Manufacturer Price'!D11*'BASES MODEL (Base Case)'!D37</f>
        <v>#NAME?</v>
      </c>
      <c r="F23" s="2444" t="e">
        <f ca="1">'Avg.Weighted Manufacturer Price'!D18*'BASES MODEL (Base Case)'!E$37</f>
        <v>#NAME?</v>
      </c>
      <c r="G23" s="2444" t="e">
        <f ca="1">'Avg.Weighted Manufacturer Price'!D27*'BASES MODEL (Base Case)'!F$37</f>
        <v>#NAME?</v>
      </c>
      <c r="H23" s="1472" t="e">
        <f ca="1">'Avg.Weighted Manufacturer Price'!D36*'BASES MODEL (Base Case)'!G$37</f>
        <v>#NAME?</v>
      </c>
    </row>
    <row r="24" spans="2:8" x14ac:dyDescent="0.2">
      <c r="B24" s="821" t="s">
        <v>1156</v>
      </c>
      <c r="C24" s="2416"/>
      <c r="D24" s="2445" t="e">
        <f ca="1">D25</f>
        <v>#NAME?</v>
      </c>
      <c r="E24" s="2445" t="e">
        <f t="shared" ref="E24:H24" ca="1" si="0">E25</f>
        <v>#NAME?</v>
      </c>
      <c r="F24" s="2445" t="e">
        <f t="shared" ca="1" si="0"/>
        <v>#NAME?</v>
      </c>
      <c r="G24" s="2445" t="e">
        <f t="shared" ca="1" si="0"/>
        <v>#NAME?</v>
      </c>
      <c r="H24" s="1472" t="e">
        <f t="shared" ca="1" si="0"/>
        <v>#NAME?</v>
      </c>
    </row>
    <row r="25" spans="2:8" x14ac:dyDescent="0.2">
      <c r="B25" s="821" t="s">
        <v>1157</v>
      </c>
      <c r="C25" s="2416"/>
      <c r="D25" s="2445" t="e">
        <f ca="1">'Avg.Weighted Manufacturer Price'!D6*'BASES MODEL (Base Case)'!C$37</f>
        <v>#NAME?</v>
      </c>
      <c r="E25" s="2445" t="e">
        <f ca="1">'Avg.Weighted Manufacturer Price'!D13*'BASES MODEL (Base Case)'!D37</f>
        <v>#NAME?</v>
      </c>
      <c r="F25" s="2445" t="e">
        <f ca="1">'Avg.Weighted Manufacturer Price'!D20*'BASES MODEL (Base Case)'!E$37</f>
        <v>#NAME?</v>
      </c>
      <c r="G25" s="2445" t="e">
        <f ca="1">'Avg.Weighted Manufacturer Price'!D29*'BASES MODEL (Base Case)'!F$37</f>
        <v>#NAME?</v>
      </c>
      <c r="H25" s="1472" t="e">
        <f ca="1">'Avg.Weighted Manufacturer Price'!D38*'BASES MODEL (Base Case)'!G$37</f>
        <v>#NAME?</v>
      </c>
    </row>
    <row r="26" spans="2:8" x14ac:dyDescent="0.2">
      <c r="B26" s="821" t="s">
        <v>1158</v>
      </c>
      <c r="C26" s="2416"/>
      <c r="D26" s="2445" t="e">
        <f ca="1">ACV!C10*'BASES MODEL (Base Case)'!$C$37</f>
        <v>#NAME?</v>
      </c>
      <c r="E26" s="2445" t="e">
        <f ca="1">ACV!D10*'BASES MODEL (Base Case)'!$C$37</f>
        <v>#NAME?</v>
      </c>
      <c r="F26" s="2445" t="e">
        <f ca="1">ACV!E10*'BASES MODEL (Base Case)'!$C$37</f>
        <v>#NAME?</v>
      </c>
      <c r="G26" s="2445" t="e">
        <f ca="1">'Avg.Weighted Manufacturer Price'!D33*'BASES MODEL (Base Case)'!F$37</f>
        <v>#NAME?</v>
      </c>
      <c r="H26" s="1472" t="e">
        <f ca="1">'Avg.Weighted Manufacturer Price'!D42*'BASES MODEL (Base Case)'!G$37</f>
        <v>#NAME?</v>
      </c>
    </row>
    <row r="27" spans="2:8" x14ac:dyDescent="0.2">
      <c r="B27" s="821" t="s">
        <v>1159</v>
      </c>
      <c r="C27" s="2416"/>
      <c r="D27" s="2445" t="e">
        <f ca="1">ACV!C11*'BASES MODEL (Base Case)'!$C$37</f>
        <v>#NAME?</v>
      </c>
      <c r="E27" s="2445" t="e">
        <f ca="1">ACV!D11*'BASES MODEL (Base Case)'!$C$37</f>
        <v>#NAME?</v>
      </c>
      <c r="F27" s="2445" t="e">
        <f ca="1">'Avg.Weighted Manufacturer Price'!D21*'BASES MODEL (Base Case)'!E$37</f>
        <v>#NAME?</v>
      </c>
      <c r="G27" s="2445" t="e">
        <f ca="1">'Avg.Weighted Manufacturer Price'!D30*'BASES MODEL (Base Case)'!F$37</f>
        <v>#NAME?</v>
      </c>
      <c r="H27" s="1472" t="e">
        <f ca="1">'Avg.Weighted Manufacturer Price'!D39*'BASES MODEL (Base Case)'!G$37</f>
        <v>#NAME?</v>
      </c>
    </row>
    <row r="28" spans="2:8" x14ac:dyDescent="0.2">
      <c r="B28" s="821" t="s">
        <v>1160</v>
      </c>
      <c r="C28" s="2416"/>
      <c r="D28" s="2445" t="e">
        <f ca="1">ACV!C12*'BASES MODEL (Base Case)'!$C$37</f>
        <v>#NAME?</v>
      </c>
      <c r="E28" s="2445" t="e">
        <f ca="1">ACV!D12*'BASES MODEL (Base Case)'!$C$37</f>
        <v>#NAME?</v>
      </c>
      <c r="F28" s="2445" t="e">
        <f ca="1">'Avg.Weighted Manufacturer Price'!D22*'BASES MODEL (Base Case)'!E$37</f>
        <v>#NAME?</v>
      </c>
      <c r="G28" s="2445" t="e">
        <f ca="1">'Avg.Weighted Manufacturer Price'!D31*'BASES MODEL (Base Case)'!F$37</f>
        <v>#NAME?</v>
      </c>
      <c r="H28" s="1472" t="e">
        <f ca="1">'Avg.Weighted Manufacturer Price'!D40*'BASES MODEL (Base Case)'!G$37</f>
        <v>#NAME?</v>
      </c>
    </row>
    <row r="29" spans="2:8" ht="17" thickBot="1" x14ac:dyDescent="0.25">
      <c r="B29" s="821" t="s">
        <v>1161</v>
      </c>
      <c r="C29" s="2425"/>
      <c r="D29" s="2446" t="e">
        <f ca="1">ACV!C13*'BASES MODEL (Base Case)'!$C$37</f>
        <v>#NAME?</v>
      </c>
      <c r="E29" s="2446" t="e">
        <f ca="1">ACV!D13*'BASES MODEL (Base Case)'!$C$37</f>
        <v>#NAME?</v>
      </c>
      <c r="F29" s="2446" t="e">
        <f ca="1">'Avg.Weighted Manufacturer Price'!D23*'BASES MODEL (Base Case)'!E$37</f>
        <v>#NAME?</v>
      </c>
      <c r="G29" s="2446" t="e">
        <f ca="1">'Avg.Weighted Manufacturer Price'!D32*'BASES MODEL (Base Case)'!F$37</f>
        <v>#NAME?</v>
      </c>
      <c r="H29" s="1472" t="e">
        <f ca="1">'Avg.Weighted Manufacturer Price'!D41*'BASES MODEL (Base Case)'!G$37</f>
        <v>#NAME?</v>
      </c>
    </row>
    <row r="30" spans="2:8" ht="18" thickTop="1" thickBot="1" x14ac:dyDescent="0.25">
      <c r="B30" s="812" t="s">
        <v>1162</v>
      </c>
      <c r="C30" s="798"/>
      <c r="D30" s="813" t="e">
        <f ca="1">SUM(D23:D29)</f>
        <v>#NAME?</v>
      </c>
      <c r="E30" s="813" t="e">
        <f t="shared" ref="E30:G30" ca="1" si="1">SUM(E23:E29)</f>
        <v>#NAME?</v>
      </c>
      <c r="F30" s="813" t="e">
        <f t="shared" ca="1" si="1"/>
        <v>#NAME?</v>
      </c>
      <c r="G30" s="813" t="e">
        <f t="shared" ca="1" si="1"/>
        <v>#NAME?</v>
      </c>
      <c r="H30" s="814" t="e">
        <f ca="1">SUM(H23:H29)</f>
        <v>#NAME?</v>
      </c>
    </row>
    <row r="31" spans="2:8" ht="17" thickTop="1" x14ac:dyDescent="0.2">
      <c r="B31" s="1074" t="s">
        <v>1163</v>
      </c>
      <c r="C31" s="826"/>
      <c r="D31" s="826"/>
      <c r="E31" s="826"/>
      <c r="F31" s="826"/>
      <c r="G31" s="826"/>
      <c r="H31" s="827"/>
    </row>
    <row r="32" spans="2:8" x14ac:dyDescent="0.2">
      <c r="B32" s="821" t="s">
        <v>1164</v>
      </c>
      <c r="C32" s="2440"/>
      <c r="D32" s="2436">
        <f>'Avg.Weighted Manufacturer Price'!E4</f>
        <v>57.15</v>
      </c>
      <c r="E32" s="2436">
        <f>'Avg.Weighted Manufacturer Price'!E11</f>
        <v>57.15</v>
      </c>
      <c r="F32" s="2436">
        <f>'Avg.Weighted Manufacturer Price'!E18</f>
        <v>57.15</v>
      </c>
      <c r="G32" s="2436">
        <f>'Avg.Weighted Manufacturer Price'!E27</f>
        <v>57.15</v>
      </c>
      <c r="H32" s="1473">
        <f>'Avg.Weighted Manufacturer Price'!E36</f>
        <v>57.15</v>
      </c>
    </row>
    <row r="33" spans="2:16" x14ac:dyDescent="0.2">
      <c r="B33" s="821" t="s">
        <v>1165</v>
      </c>
      <c r="C33" s="2441"/>
      <c r="D33" s="2437">
        <f>'Avg.Weighted Manufacturer Price'!E6</f>
        <v>82.550000000000011</v>
      </c>
      <c r="E33" s="2437">
        <f>'Avg.Weighted Manufacturer Price'!E13</f>
        <v>82.550000000000011</v>
      </c>
      <c r="F33" s="2437">
        <f>'Avg.Weighted Manufacturer Price'!E20</f>
        <v>82.550000000000011</v>
      </c>
      <c r="G33" s="2437">
        <f>'Avg.Weighted Manufacturer Price'!E29</f>
        <v>82.550000000000011</v>
      </c>
      <c r="H33" s="1473">
        <f>'Avg.Weighted Manufacturer Price'!E38</f>
        <v>82.550000000000011</v>
      </c>
      <c r="J33" s="2619" t="s">
        <v>1502</v>
      </c>
      <c r="K33" s="2619" t="s">
        <v>1505</v>
      </c>
      <c r="L33" s="2619"/>
    </row>
    <row r="34" spans="2:16" x14ac:dyDescent="0.2">
      <c r="B34" s="821" t="s">
        <v>1166</v>
      </c>
      <c r="C34" s="2442"/>
      <c r="D34" s="2438" t="s">
        <v>1167</v>
      </c>
      <c r="E34" s="2438" t="s">
        <v>1167</v>
      </c>
      <c r="F34" s="2438" t="s">
        <v>1167</v>
      </c>
      <c r="G34" s="2438">
        <f>'Avg.Weighted Manufacturer Price'!E33</f>
        <v>64.959999999999994</v>
      </c>
      <c r="H34" s="1473">
        <f>'Avg.Weighted Manufacturer Price'!E42</f>
        <v>64.959999999999994</v>
      </c>
      <c r="J34" s="2619">
        <v>26.1474178221473</v>
      </c>
      <c r="K34" s="2619">
        <v>1.3071773499999999</v>
      </c>
      <c r="L34" s="2619"/>
    </row>
    <row r="35" spans="2:16" x14ac:dyDescent="0.2">
      <c r="B35" s="821" t="s">
        <v>1168</v>
      </c>
      <c r="C35" s="2442"/>
      <c r="D35" s="2438" t="s">
        <v>1167</v>
      </c>
      <c r="E35" s="2438" t="s">
        <v>1167</v>
      </c>
      <c r="F35" s="2438">
        <f>'Avg.Weighted Manufacturer Price'!E21</f>
        <v>52.2</v>
      </c>
      <c r="G35" s="2438">
        <f>'Avg.Weighted Manufacturer Price'!E30</f>
        <v>52.2</v>
      </c>
      <c r="H35" s="1473">
        <f>'Avg.Weighted Manufacturer Price'!E39</f>
        <v>52.2</v>
      </c>
      <c r="J35" s="2619" t="s">
        <v>1504</v>
      </c>
      <c r="K35" s="2619" t="s">
        <v>1502</v>
      </c>
      <c r="L35" s="2619" t="s">
        <v>1503</v>
      </c>
    </row>
    <row r="36" spans="2:16" x14ac:dyDescent="0.2">
      <c r="B36" s="821" t="s">
        <v>1169</v>
      </c>
      <c r="C36" s="2442"/>
      <c r="D36" s="2438" t="s">
        <v>1167</v>
      </c>
      <c r="E36" s="2438" t="s">
        <v>1167</v>
      </c>
      <c r="F36" s="2438">
        <f>'Avg.Weighted Manufacturer Price'!E22</f>
        <v>52.2</v>
      </c>
      <c r="G36" s="2438">
        <f>'Avg.Weighted Manufacturer Price'!E31</f>
        <v>52.2</v>
      </c>
      <c r="H36" s="1473">
        <f>'Avg.Weighted Manufacturer Price'!E40</f>
        <v>52.2</v>
      </c>
      <c r="J36" s="2619">
        <v>7.92</v>
      </c>
      <c r="K36" s="2619">
        <v>8.7401078506898209</v>
      </c>
      <c r="L36" s="2619">
        <v>11.8</v>
      </c>
    </row>
    <row r="37" spans="2:16" ht="17" thickBot="1" x14ac:dyDescent="0.25">
      <c r="B37" s="821" t="s">
        <v>1170</v>
      </c>
      <c r="C37" s="2443"/>
      <c r="D37" s="2439" t="s">
        <v>1167</v>
      </c>
      <c r="E37" s="2439" t="s">
        <v>1167</v>
      </c>
      <c r="F37" s="2439">
        <f>'Avg.Weighted Manufacturer Price'!E23</f>
        <v>54.734999999999999</v>
      </c>
      <c r="G37" s="2439">
        <f>'Avg.Weighted Manufacturer Price'!E32</f>
        <v>54.734999999999999</v>
      </c>
      <c r="H37" s="1473">
        <f>'Avg.Weighted Manufacturer Price'!E41</f>
        <v>54.734999999999999</v>
      </c>
      <c r="J37" s="2">
        <v>1.9655394885156048E-3</v>
      </c>
      <c r="K37" s="2">
        <v>-3.8013736508649684E-2</v>
      </c>
      <c r="L37" s="2">
        <v>-6.2186559232361487E-2</v>
      </c>
      <c r="M37" s="2">
        <v>2.3935407298342048E-2</v>
      </c>
    </row>
    <row r="38" spans="2:16" ht="34" thickTop="1" thickBot="1" x14ac:dyDescent="0.25">
      <c r="B38" s="1173" t="s">
        <v>1171</v>
      </c>
      <c r="C38" s="798"/>
      <c r="D38" s="818">
        <f>'Avg.Weighted Manufacturer Price'!F9</f>
        <v>80.561016949152545</v>
      </c>
      <c r="E38" s="818">
        <f>'Avg.Weighted Manufacturer Price'!F16</f>
        <v>78.128888213851766</v>
      </c>
      <c r="F38" s="818">
        <f>'Avg.Weighted Manufacturer Price'!F25</f>
        <v>77.474995001098407</v>
      </c>
      <c r="G38" s="818">
        <f>'Avg.Weighted Manufacturer Price'!F34</f>
        <v>73.278874137354507</v>
      </c>
      <c r="H38" s="819">
        <f>'Avg.Weighted Manufacturer Price'!F43</f>
        <v>72.87782346630911</v>
      </c>
      <c r="I38" s="2">
        <v>8.7401078506898244</v>
      </c>
      <c r="J38" s="2564" t="e">
        <f ca="1">(E41-D41)/D41</f>
        <v>#NAME?</v>
      </c>
      <c r="K38" s="2564" t="e">
        <f t="shared" ref="K38:M38" ca="1" si="2">(F41-E41)/E41</f>
        <v>#NAME?</v>
      </c>
      <c r="L38" s="2564" t="e">
        <f t="shared" ca="1" si="2"/>
        <v>#NAME?</v>
      </c>
      <c r="M38" s="2564" t="e">
        <f t="shared" ca="1" si="2"/>
        <v>#NAME?</v>
      </c>
      <c r="N38" s="820"/>
      <c r="O38" s="149"/>
    </row>
    <row r="39" spans="2:16" ht="18" thickTop="1" thickBot="1" x14ac:dyDescent="0.25">
      <c r="B39" s="1074" t="s">
        <v>1172</v>
      </c>
      <c r="C39" s="826"/>
      <c r="D39" s="826"/>
      <c r="E39" s="826"/>
      <c r="F39" s="826"/>
      <c r="G39" s="826"/>
      <c r="H39" s="827"/>
      <c r="K39" s="1191"/>
      <c r="L39" s="1261" t="s">
        <v>71</v>
      </c>
      <c r="M39" s="1261" t="s">
        <v>72</v>
      </c>
      <c r="N39" s="1261" t="s">
        <v>73</v>
      </c>
      <c r="O39" s="1261" t="s">
        <v>74</v>
      </c>
      <c r="P39" s="1262" t="s">
        <v>75</v>
      </c>
    </row>
    <row r="40" spans="2:16" ht="17" thickTop="1" x14ac:dyDescent="0.2">
      <c r="B40" s="821" t="s">
        <v>1173</v>
      </c>
      <c r="C40" s="2424"/>
      <c r="D40" s="2620" t="e">
        <f ca="1">RiskNormal(J34,K34)</f>
        <v>#NAME?</v>
      </c>
      <c r="E40" s="2620" t="e">
        <f ca="1">D40*1</f>
        <v>#NAME?</v>
      </c>
      <c r="F40" s="2620" t="e">
        <f t="shared" ref="F40:H40" ca="1" si="3">E40*1</f>
        <v>#NAME?</v>
      </c>
      <c r="G40" s="2620" t="e">
        <f t="shared" ca="1" si="3"/>
        <v>#NAME?</v>
      </c>
      <c r="H40" s="2620" t="e">
        <f t="shared" ca="1" si="3"/>
        <v>#NAME?</v>
      </c>
      <c r="K40" s="1194" t="s">
        <v>1174</v>
      </c>
      <c r="L40" s="2407" t="e">
        <f ca="1">D40*D30/D45</f>
        <v>#NAME?</v>
      </c>
      <c r="M40" s="2411" t="e">
        <f t="shared" ref="M40:P40" ca="1" si="4">E40*E30/E45</f>
        <v>#NAME?</v>
      </c>
      <c r="N40" s="2411" t="e">
        <f t="shared" ca="1" si="4"/>
        <v>#NAME?</v>
      </c>
      <c r="O40" s="2411" t="e">
        <f t="shared" ca="1" si="4"/>
        <v>#NAME?</v>
      </c>
      <c r="P40" s="1190" t="e">
        <f t="shared" ca="1" si="4"/>
        <v>#NAME?</v>
      </c>
    </row>
    <row r="41" spans="2:16" ht="17" thickBot="1" x14ac:dyDescent="0.25">
      <c r="B41" s="1474" t="s">
        <v>1175</v>
      </c>
      <c r="C41" s="2425"/>
      <c r="D41" s="2621" t="e">
        <f ca="1">RiskTriang(J36,K36,L36)</f>
        <v>#NAME?</v>
      </c>
      <c r="E41" s="2621" t="e">
        <f ca="1">D41*(1+J37)</f>
        <v>#NAME?</v>
      </c>
      <c r="F41" s="2621" t="e">
        <f t="shared" ref="F41:H41" ca="1" si="5">E41*(1+K37)</f>
        <v>#NAME?</v>
      </c>
      <c r="G41" s="2621" t="e">
        <f t="shared" ca="1" si="5"/>
        <v>#NAME?</v>
      </c>
      <c r="H41" s="2621" t="e">
        <f t="shared" ca="1" si="5"/>
        <v>#NAME?</v>
      </c>
      <c r="K41" s="1194" t="s">
        <v>1176</v>
      </c>
      <c r="L41" s="2408" t="e">
        <f ca="1">D41*D30/D45</f>
        <v>#NAME?</v>
      </c>
      <c r="M41" s="2412" t="e">
        <f t="shared" ref="M41:P41" ca="1" si="6">E41*E30/E45</f>
        <v>#NAME?</v>
      </c>
      <c r="N41" s="2412" t="e">
        <f t="shared" ca="1" si="6"/>
        <v>#NAME?</v>
      </c>
      <c r="O41" s="2412" t="e">
        <f t="shared" ca="1" si="6"/>
        <v>#NAME?</v>
      </c>
      <c r="P41" s="1188" t="e">
        <f t="shared" ca="1" si="6"/>
        <v>#NAME?</v>
      </c>
    </row>
    <row r="42" spans="2:16" ht="18" thickTop="1" thickBot="1" x14ac:dyDescent="0.25">
      <c r="B42" s="821" t="s">
        <v>1177</v>
      </c>
      <c r="C42" s="2416"/>
      <c r="D42" s="2426" t="e">
        <f ca="1">SUM(D40:D41)</f>
        <v>#NAME?</v>
      </c>
      <c r="E42" s="2426" t="e">
        <f t="shared" ref="E42:H42" ca="1" si="7">SUM(E40:E41)</f>
        <v>#NAME?</v>
      </c>
      <c r="F42" s="1477" t="e">
        <f t="shared" ca="1" si="7"/>
        <v>#NAME?</v>
      </c>
      <c r="G42" s="1477" t="e">
        <f t="shared" ca="1" si="7"/>
        <v>#NAME?</v>
      </c>
      <c r="H42" s="1478" t="e">
        <f t="shared" ca="1" si="7"/>
        <v>#NAME?</v>
      </c>
      <c r="K42" s="1194" t="s">
        <v>1178</v>
      </c>
      <c r="L42" s="2410" t="e">
        <f ca="1">D44/D45</f>
        <v>#NAME?</v>
      </c>
      <c r="M42" s="2414" t="e">
        <f t="shared" ref="M42:P42" ca="1" si="8">E44/E45</f>
        <v>#NAME?</v>
      </c>
      <c r="N42" s="2414" t="e">
        <f t="shared" ca="1" si="8"/>
        <v>#NAME?</v>
      </c>
      <c r="O42" s="2414" t="e">
        <f t="shared" ca="1" si="8"/>
        <v>#NAME?</v>
      </c>
      <c r="P42" s="1188" t="e">
        <f t="shared" ca="1" si="8"/>
        <v>#NAME?</v>
      </c>
    </row>
    <row r="43" spans="2:16" ht="18" thickTop="1" thickBot="1" x14ac:dyDescent="0.25">
      <c r="B43" s="821" t="s">
        <v>1179</v>
      </c>
      <c r="C43" s="2416"/>
      <c r="D43" s="2427" t="e">
        <f ca="1">D42*'BASES MODEL (Base Case)'!C37</f>
        <v>#NAME?</v>
      </c>
      <c r="E43" s="2427" t="e">
        <f ca="1">E42*'BASES MODEL (Base Case)'!D37</f>
        <v>#NAME?</v>
      </c>
      <c r="F43" s="691" t="e">
        <f ca="1">F42*'BASES MODEL (Base Case)'!E37</f>
        <v>#NAME?</v>
      </c>
      <c r="G43" s="691" t="e">
        <f ca="1">G42*'BASES MODEL (Base Case)'!F37</f>
        <v>#NAME?</v>
      </c>
      <c r="H43" s="1104" t="e">
        <f ca="1">H42*'BASES MODEL (Base Case)'!G37</f>
        <v>#NAME?</v>
      </c>
      <c r="K43" s="817"/>
      <c r="L43" s="1192" t="e">
        <f ca="1">IF(SUM(L40:L42)=1,"OK","CHECK")</f>
        <v>#NAME?</v>
      </c>
      <c r="M43" s="1192" t="e">
        <f t="shared" ref="M43:P43" ca="1" si="9">IF(SUM(M40:M42)=1,"OK","CHECK")</f>
        <v>#NAME?</v>
      </c>
      <c r="N43" s="1192" t="e">
        <f ca="1">IF(SUM(N40:N42)=1,"OK","OK")</f>
        <v>#NAME?</v>
      </c>
      <c r="O43" s="1192" t="e">
        <f t="shared" ca="1" si="9"/>
        <v>#NAME?</v>
      </c>
      <c r="P43" s="1193" t="e">
        <f t="shared" ca="1" si="9"/>
        <v>#NAME?</v>
      </c>
    </row>
    <row r="44" spans="2:16" ht="18" thickTop="1" thickBot="1" x14ac:dyDescent="0.25">
      <c r="B44" s="821" t="s">
        <v>1180</v>
      </c>
      <c r="C44" s="2416"/>
      <c r="D44" s="2405" t="e">
        <f ca="1">OH!$D$12</f>
        <v>#NAME?</v>
      </c>
      <c r="E44" s="2405" t="e">
        <f ca="1">OH!$E$12</f>
        <v>#NAME?</v>
      </c>
      <c r="F44" s="1479" t="e">
        <f ca="1">OH!$F$12</f>
        <v>#NAME?</v>
      </c>
      <c r="G44" s="1479" t="e">
        <f ca="1">OH!$G$12</f>
        <v>#NAME?</v>
      </c>
      <c r="H44" s="1480" t="e">
        <f ca="1">OH!$H$12</f>
        <v>#NAME?</v>
      </c>
      <c r="N44" s="1186"/>
    </row>
    <row r="45" spans="2:16" ht="17" thickBot="1" x14ac:dyDescent="0.25">
      <c r="B45" s="2432" t="s">
        <v>1181</v>
      </c>
      <c r="C45" s="2433"/>
      <c r="D45" s="2434" t="e">
        <f ca="1">D43+D44</f>
        <v>#NAME?</v>
      </c>
      <c r="E45" s="2434" t="e">
        <f t="shared" ref="E45:H45" ca="1" si="10">E43+E44</f>
        <v>#NAME?</v>
      </c>
      <c r="F45" s="2434" t="e">
        <f t="shared" ca="1" si="10"/>
        <v>#NAME?</v>
      </c>
      <c r="G45" s="2434" t="e">
        <f t="shared" ca="1" si="10"/>
        <v>#NAME?</v>
      </c>
      <c r="H45" s="2435" t="e">
        <f t="shared" ca="1" si="10"/>
        <v>#NAME?</v>
      </c>
    </row>
    <row r="46" spans="2:16" ht="17" thickBot="1" x14ac:dyDescent="0.25">
      <c r="B46" s="2430" t="s">
        <v>313</v>
      </c>
      <c r="C46" s="826"/>
      <c r="D46" s="2431" t="e">
        <f ca="1">D45/D30</f>
        <v>#NAME?</v>
      </c>
      <c r="E46" s="2431" t="e">
        <f t="shared" ref="E46:H46" ca="1" si="11">E45/E30</f>
        <v>#NAME?</v>
      </c>
      <c r="F46" s="2431" t="e">
        <f t="shared" ca="1" si="11"/>
        <v>#NAME?</v>
      </c>
      <c r="G46" s="2431" t="e">
        <f t="shared" ca="1" si="11"/>
        <v>#NAME?</v>
      </c>
      <c r="H46" s="2431" t="e">
        <f t="shared" ca="1" si="11"/>
        <v>#NAME?</v>
      </c>
    </row>
    <row r="47" spans="2:16" ht="18" thickTop="1" thickBot="1" x14ac:dyDescent="0.25">
      <c r="B47" s="825" t="s">
        <v>1182</v>
      </c>
      <c r="C47" s="826"/>
      <c r="D47" s="826"/>
      <c r="E47" s="826"/>
      <c r="F47" s="826"/>
      <c r="G47" s="826"/>
      <c r="H47" s="827"/>
      <c r="K47" s="1263" t="s">
        <v>1183</v>
      </c>
      <c r="L47" s="1261" t="s">
        <v>71</v>
      </c>
      <c r="M47" s="1261" t="s">
        <v>72</v>
      </c>
      <c r="N47" s="1261" t="s">
        <v>73</v>
      </c>
      <c r="O47" s="1261" t="s">
        <v>74</v>
      </c>
      <c r="P47" s="1262" t="s">
        <v>75</v>
      </c>
    </row>
    <row r="48" spans="2:16" ht="17" thickTop="1" x14ac:dyDescent="0.2">
      <c r="B48" s="821" t="s">
        <v>1184</v>
      </c>
      <c r="C48" s="2415" t="e">
        <f ca="1">Office!C17</f>
        <v>#NAME?</v>
      </c>
      <c r="D48" s="2420" t="e">
        <f ca="1">Office!C35</f>
        <v>#NAME?</v>
      </c>
      <c r="E48" s="2420" t="e">
        <f ca="1">Office!C54</f>
        <v>#NAME?</v>
      </c>
      <c r="F48" s="2420" t="e">
        <f ca="1">Office!C73</f>
        <v>#NAME?</v>
      </c>
      <c r="G48" s="2420" t="e">
        <f ca="1">Office!C92</f>
        <v>#NAME?</v>
      </c>
      <c r="H48" s="1480" t="e">
        <f ca="1">Office!C111</f>
        <v>#NAME?</v>
      </c>
      <c r="K48" s="1187" t="s">
        <v>1185</v>
      </c>
      <c r="L48" s="2407" t="e">
        <f ca="1">D48/D55</f>
        <v>#NAME?</v>
      </c>
      <c r="M48" s="2411" t="e">
        <f t="shared" ref="M48:P48" ca="1" si="12">E48/E55</f>
        <v>#NAME?</v>
      </c>
      <c r="N48" s="2411" t="e">
        <f t="shared" ca="1" si="12"/>
        <v>#NAME?</v>
      </c>
      <c r="O48" s="2411" t="e">
        <f t="shared" ca="1" si="12"/>
        <v>#NAME?</v>
      </c>
      <c r="P48" s="1190" t="e">
        <f t="shared" ca="1" si="12"/>
        <v>#NAME?</v>
      </c>
    </row>
    <row r="49" spans="2:16" x14ac:dyDescent="0.2">
      <c r="B49" s="821" t="s">
        <v>1186</v>
      </c>
      <c r="C49" s="2416"/>
      <c r="D49" s="2421">
        <v>0</v>
      </c>
      <c r="E49" s="2421">
        <v>0</v>
      </c>
      <c r="F49" s="2421">
        <v>0</v>
      </c>
      <c r="G49" s="2421">
        <v>0</v>
      </c>
      <c r="H49" s="524">
        <v>0</v>
      </c>
      <c r="K49" s="1187" t="s">
        <v>1187</v>
      </c>
      <c r="L49" s="2408" t="e">
        <f ca="1">D49/D55</f>
        <v>#NAME?</v>
      </c>
      <c r="M49" s="2412" t="e">
        <f t="shared" ref="M49:P49" ca="1" si="13">E49/E55</f>
        <v>#NAME?</v>
      </c>
      <c r="N49" s="2412" t="e">
        <f t="shared" ca="1" si="13"/>
        <v>#NAME?</v>
      </c>
      <c r="O49" s="2412" t="e">
        <f t="shared" ca="1" si="13"/>
        <v>#NAME?</v>
      </c>
      <c r="P49" s="1188" t="e">
        <f t="shared" ca="1" si="13"/>
        <v>#NAME?</v>
      </c>
    </row>
    <row r="50" spans="2:16" x14ac:dyDescent="0.2">
      <c r="B50" s="821" t="s">
        <v>1188</v>
      </c>
      <c r="C50" s="2417">
        <f>Salaries!$G$26</f>
        <v>223003.25</v>
      </c>
      <c r="D50" s="2405" t="e">
        <f ca="1">Salaries!$G$54</f>
        <v>#NAME?</v>
      </c>
      <c r="E50" s="2405" t="e">
        <f ca="1">Salaries!$G$82</f>
        <v>#NAME?</v>
      </c>
      <c r="F50" s="2405" t="e">
        <f ca="1">Salaries!$G$110</f>
        <v>#NAME?</v>
      </c>
      <c r="G50" s="2405" t="e">
        <f ca="1">Salaries!$G$138</f>
        <v>#NAME?</v>
      </c>
      <c r="H50" s="1480" t="e">
        <f ca="1">Salaries!$G$166</f>
        <v>#NAME?</v>
      </c>
      <c r="K50" s="1187" t="s">
        <v>1189</v>
      </c>
      <c r="L50" s="2408" t="e">
        <f ca="1">D50/D55</f>
        <v>#NAME?</v>
      </c>
      <c r="M50" s="2412" t="e">
        <f t="shared" ref="M50:P50" ca="1" si="14">E50/E55</f>
        <v>#NAME?</v>
      </c>
      <c r="N50" s="2412" t="e">
        <f t="shared" ca="1" si="14"/>
        <v>#NAME?</v>
      </c>
      <c r="O50" s="2412" t="e">
        <f t="shared" ca="1" si="14"/>
        <v>#NAME?</v>
      </c>
      <c r="P50" s="1188" t="e">
        <f t="shared" ca="1" si="14"/>
        <v>#NAME?</v>
      </c>
    </row>
    <row r="51" spans="2:16" ht="32" x14ac:dyDescent="0.2">
      <c r="B51" s="1105" t="s">
        <v>1190</v>
      </c>
      <c r="C51" s="2418"/>
      <c r="D51" s="2422">
        <f>'IMC Schedules'!$O$45</f>
        <v>173323.69999999998</v>
      </c>
      <c r="E51" s="2422">
        <f>'IMC Schedules'!$AI$46</f>
        <v>173323.69999999998</v>
      </c>
      <c r="F51" s="2422">
        <f>'IMC Schedules'!$O$97</f>
        <v>383229.94999999995</v>
      </c>
      <c r="G51" s="2422">
        <f>'IMC Schedules'!$AI$97</f>
        <v>426729.94999999995</v>
      </c>
      <c r="H51" s="1481">
        <f>'IMC Schedules'!$O$148</f>
        <v>426729.94999999995</v>
      </c>
      <c r="K51" s="1187" t="s">
        <v>1191</v>
      </c>
      <c r="L51" s="2409" t="e">
        <f ca="1">D51/D55</f>
        <v>#NAME?</v>
      </c>
      <c r="M51" s="2413" t="e">
        <f t="shared" ref="M51:P51" ca="1" si="15">E51/E55</f>
        <v>#NAME?</v>
      </c>
      <c r="N51" s="2413" t="e">
        <f t="shared" ca="1" si="15"/>
        <v>#NAME?</v>
      </c>
      <c r="O51" s="2413" t="e">
        <f t="shared" ca="1" si="15"/>
        <v>#NAME?</v>
      </c>
      <c r="P51" s="1195" t="e">
        <f t="shared" ca="1" si="15"/>
        <v>#NAME?</v>
      </c>
    </row>
    <row r="52" spans="2:16" ht="32" x14ac:dyDescent="0.2">
      <c r="B52" s="1105" t="s">
        <v>1192</v>
      </c>
      <c r="C52" s="2418"/>
      <c r="D52" s="2405">
        <f>Salaries!G49</f>
        <v>0</v>
      </c>
      <c r="E52" s="2405">
        <f>Salaries!G77</f>
        <v>0</v>
      </c>
      <c r="F52" s="2405" t="e">
        <f ca="1">Salaries!G105</f>
        <v>#NAME?</v>
      </c>
      <c r="G52" s="2405" t="e">
        <f ca="1">Salaries!G133</f>
        <v>#NAME?</v>
      </c>
      <c r="H52" s="1480" t="e">
        <f ca="1">Salaries!G161</f>
        <v>#NAME?</v>
      </c>
      <c r="K52" s="1187" t="s">
        <v>1193</v>
      </c>
      <c r="L52" s="2408" t="e">
        <f ca="1">D52/D55</f>
        <v>#NAME?</v>
      </c>
      <c r="M52" s="2412" t="e">
        <f t="shared" ref="M52:P52" ca="1" si="16">E52/E55</f>
        <v>#NAME?</v>
      </c>
      <c r="N52" s="2412" t="e">
        <f t="shared" ca="1" si="16"/>
        <v>#NAME?</v>
      </c>
      <c r="O52" s="2412" t="e">
        <f t="shared" ca="1" si="16"/>
        <v>#NAME?</v>
      </c>
      <c r="P52" s="1188" t="e">
        <f t="shared" ca="1" si="16"/>
        <v>#NAME?</v>
      </c>
    </row>
    <row r="53" spans="2:16" ht="32" x14ac:dyDescent="0.2">
      <c r="B53" s="1105" t="s">
        <v>1194</v>
      </c>
      <c r="C53" s="2418"/>
      <c r="D53" s="2405" t="e">
        <f ca="1">Salaries!G48</f>
        <v>#NAME?</v>
      </c>
      <c r="E53" s="2405" t="e">
        <f ca="1">Salaries!G76</f>
        <v>#NAME?</v>
      </c>
      <c r="F53" s="2405" t="e">
        <f ca="1">Salaries!G104</f>
        <v>#NAME?</v>
      </c>
      <c r="G53" s="2405" t="e">
        <f ca="1">Salaries!G132</f>
        <v>#NAME?</v>
      </c>
      <c r="H53" s="1480" t="e">
        <f ca="1">Salaries!G160</f>
        <v>#NAME?</v>
      </c>
      <c r="K53" s="1187" t="s">
        <v>1195</v>
      </c>
      <c r="L53" s="2408" t="e">
        <f ca="1">D53/D55</f>
        <v>#NAME?</v>
      </c>
      <c r="M53" s="2412" t="e">
        <f t="shared" ref="M53:P53" ca="1" si="17">E53/E55</f>
        <v>#NAME?</v>
      </c>
      <c r="N53" s="2412" t="e">
        <f t="shared" ca="1" si="17"/>
        <v>#NAME?</v>
      </c>
      <c r="O53" s="2412" t="e">
        <f t="shared" ca="1" si="17"/>
        <v>#NAME?</v>
      </c>
      <c r="P53" s="1188" t="e">
        <f t="shared" ca="1" si="17"/>
        <v>#NAME?</v>
      </c>
    </row>
    <row r="54" spans="2:16" ht="17" thickBot="1" x14ac:dyDescent="0.25">
      <c r="B54" s="1105" t="s">
        <v>1196</v>
      </c>
      <c r="C54" s="2419"/>
      <c r="D54" s="2423" t="e">
        <f ca="1">IT!C66</f>
        <v>#NAME?</v>
      </c>
      <c r="E54" s="2423" t="e">
        <f ca="1">IT!C99</f>
        <v>#NAME?</v>
      </c>
      <c r="F54" s="2423" t="e">
        <f ca="1">IT!C132</f>
        <v>#NAME?</v>
      </c>
      <c r="G54" s="2423" t="e">
        <f ca="1">IT!C165</f>
        <v>#NAME?</v>
      </c>
      <c r="H54" s="1480" t="e">
        <f ca="1">IT!C198</f>
        <v>#NAME?</v>
      </c>
      <c r="K54" s="1187" t="s">
        <v>1196</v>
      </c>
      <c r="L54" s="2410" t="e">
        <f ca="1">D54/D55</f>
        <v>#NAME?</v>
      </c>
      <c r="M54" s="2414" t="e">
        <f t="shared" ref="M54:P54" ca="1" si="18">E54/E55</f>
        <v>#NAME?</v>
      </c>
      <c r="N54" s="2414" t="e">
        <f t="shared" ca="1" si="18"/>
        <v>#NAME?</v>
      </c>
      <c r="O54" s="2414" t="e">
        <f t="shared" ca="1" si="18"/>
        <v>#NAME?</v>
      </c>
      <c r="P54" s="1189" t="e">
        <f t="shared" ca="1" si="18"/>
        <v>#NAME?</v>
      </c>
    </row>
    <row r="55" spans="2:16" ht="18" thickTop="1" thickBot="1" x14ac:dyDescent="0.25">
      <c r="B55" s="812" t="s">
        <v>1197</v>
      </c>
      <c r="C55" s="2428" t="e">
        <f ca="1">SUM(C48:C54)</f>
        <v>#NAME?</v>
      </c>
      <c r="D55" s="2429" t="e">
        <f t="shared" ref="D55:H55" ca="1" si="19">SUM(D48:D54)</f>
        <v>#NAME?</v>
      </c>
      <c r="E55" s="2429" t="e">
        <f t="shared" ca="1" si="19"/>
        <v>#NAME?</v>
      </c>
      <c r="F55" s="2429" t="e">
        <f t="shared" ca="1" si="19"/>
        <v>#NAME?</v>
      </c>
      <c r="G55" s="2429" t="e">
        <f t="shared" ca="1" si="19"/>
        <v>#NAME?</v>
      </c>
      <c r="H55" s="1106" t="e">
        <f t="shared" ca="1" si="19"/>
        <v>#NAME?</v>
      </c>
      <c r="K55" s="817"/>
      <c r="L55" s="1196" t="e">
        <f ca="1">IF(SUM(L48:L54)=1,"OK","CHECK")</f>
        <v>#NAME?</v>
      </c>
      <c r="M55" s="1196" t="e">
        <f t="shared" ref="M55:P55" ca="1" si="20">IF(SUM(M48:M54)=1,"OK","CHECK")</f>
        <v>#NAME?</v>
      </c>
      <c r="N55" s="1196" t="e">
        <f t="shared" ca="1" si="20"/>
        <v>#NAME?</v>
      </c>
      <c r="O55" s="1196" t="e">
        <f t="shared" ca="1" si="20"/>
        <v>#NAME?</v>
      </c>
      <c r="P55" s="1197" t="e">
        <f t="shared" ca="1" si="20"/>
        <v>#NAME?</v>
      </c>
    </row>
    <row r="56" spans="2:16" ht="17" thickTop="1" x14ac:dyDescent="0.2">
      <c r="B56" s="816"/>
      <c r="C56" s="816"/>
      <c r="D56" s="816"/>
      <c r="E56" s="816"/>
      <c r="F56" s="816"/>
      <c r="G56" s="816"/>
      <c r="H56" s="816"/>
    </row>
    <row r="57" spans="2:16" ht="16.25" customHeight="1" x14ac:dyDescent="0.2">
      <c r="B57" s="2818" t="s">
        <v>1198</v>
      </c>
      <c r="C57" s="2819"/>
      <c r="D57" s="2819"/>
      <c r="E57" s="2819"/>
      <c r="F57" s="2819"/>
      <c r="G57" s="2819"/>
      <c r="H57" s="2820"/>
    </row>
    <row r="58" spans="2:16" x14ac:dyDescent="0.2">
      <c r="B58" s="700" t="s">
        <v>1199</v>
      </c>
      <c r="C58" s="2399" t="s">
        <v>1167</v>
      </c>
      <c r="D58" s="2403" t="e">
        <f ca="1">'Balance Sheet'!D37</f>
        <v>#NAME?</v>
      </c>
      <c r="E58" s="2403" t="e">
        <f ca="1">'Balance Sheet'!E37</f>
        <v>#NAME?</v>
      </c>
      <c r="F58" s="2403" t="e">
        <f ca="1">'Balance Sheet'!F37</f>
        <v>#NAME?</v>
      </c>
      <c r="G58" s="2403" t="e">
        <f ca="1">'Balance Sheet'!G37</f>
        <v>#NAME?</v>
      </c>
      <c r="H58" s="1483" t="e">
        <f ca="1">'Balance Sheet'!H37</f>
        <v>#NAME?</v>
      </c>
    </row>
    <row r="59" spans="2:16" x14ac:dyDescent="0.2">
      <c r="B59" s="700" t="s">
        <v>1200</v>
      </c>
      <c r="C59" s="2400" t="s">
        <v>1167</v>
      </c>
      <c r="D59" s="2404" t="e">
        <f ca="1">'Balance Sheet'!D38</f>
        <v>#NAME?</v>
      </c>
      <c r="E59" s="2404" t="e">
        <f ca="1">'Balance Sheet'!E38</f>
        <v>#NAME?</v>
      </c>
      <c r="F59" s="2404" t="e">
        <f ca="1">'Balance Sheet'!F38</f>
        <v>#NAME?</v>
      </c>
      <c r="G59" s="2404" t="e">
        <f ca="1">'Balance Sheet'!G38</f>
        <v>#NAME?</v>
      </c>
      <c r="H59" s="1483" t="e">
        <f ca="1">'Balance Sheet'!H38</f>
        <v>#NAME?</v>
      </c>
    </row>
    <row r="60" spans="2:16" x14ac:dyDescent="0.2">
      <c r="B60" s="700" t="s">
        <v>1201</v>
      </c>
      <c r="C60" s="2401" t="e">
        <f ca="1">1/6*D60</f>
        <v>#NAME?</v>
      </c>
      <c r="D60" s="2405" t="e">
        <f ca="1">Inventory!$I$34+Inventory!$I$35</f>
        <v>#NAME?</v>
      </c>
      <c r="E60" s="2405" t="e">
        <f ca="1">Inventory!$I$68+Inventory!$I$69</f>
        <v>#NAME?</v>
      </c>
      <c r="F60" s="2405" t="e">
        <f ca="1">Inventory!$I$102+Inventory!$I$103</f>
        <v>#NAME?</v>
      </c>
      <c r="G60" s="2405" t="e">
        <f ca="1">Inventory!$I$136+Inventory!$I$137</f>
        <v>#NAME?</v>
      </c>
      <c r="H60" s="1480" t="e">
        <f ca="1">Inventory!$I$170+Inventory!$I$171</f>
        <v>#NAME?</v>
      </c>
    </row>
    <row r="61" spans="2:16" x14ac:dyDescent="0.2">
      <c r="B61" s="701" t="s">
        <v>1202</v>
      </c>
      <c r="C61" s="2402" t="e">
        <f ca="1">1/6*D61</f>
        <v>#NAME?</v>
      </c>
      <c r="D61" s="2406" t="e">
        <f ca="1">Inventory!$I$36</f>
        <v>#NAME?</v>
      </c>
      <c r="E61" s="2406" t="e">
        <f ca="1">Inventory!$I$70</f>
        <v>#NAME?</v>
      </c>
      <c r="F61" s="2406" t="e">
        <f ca="1">Inventory!$I$104</f>
        <v>#NAME?</v>
      </c>
      <c r="G61" s="2406" t="e">
        <f ca="1">Inventory!$I$138</f>
        <v>#NAME?</v>
      </c>
      <c r="H61" s="1484" t="e">
        <f ca="1">Inventory!$I$172</f>
        <v>#NAME?</v>
      </c>
    </row>
    <row r="62" spans="2:16" ht="18.75" customHeight="1" x14ac:dyDescent="0.2">
      <c r="B62" s="816"/>
      <c r="C62" s="816"/>
      <c r="D62" s="816"/>
      <c r="E62" s="816"/>
      <c r="F62" s="816"/>
      <c r="G62" s="816"/>
      <c r="H62" s="816"/>
    </row>
    <row r="63" spans="2:16" x14ac:dyDescent="0.2">
      <c r="B63" s="2818" t="s">
        <v>1203</v>
      </c>
      <c r="C63" s="2819"/>
      <c r="D63" s="2819"/>
      <c r="E63" s="2819"/>
      <c r="F63" s="2819"/>
      <c r="G63" s="2819"/>
      <c r="H63" s="2820"/>
    </row>
    <row r="64" spans="2:16" ht="17" thickBot="1" x14ac:dyDescent="0.25">
      <c r="B64" s="1402" t="s">
        <v>1204</v>
      </c>
      <c r="C64" s="2451" t="e">
        <f ca="1">Capacity!$I$33</f>
        <v>#NAME?</v>
      </c>
      <c r="D64" s="2451" t="e">
        <f ca="1">Capacity!$K$74</f>
        <v>#NAME?</v>
      </c>
      <c r="E64" s="2451" t="e">
        <f ca="1">Capacity!$K$115</f>
        <v>#NAME?</v>
      </c>
      <c r="F64" s="2451" t="e">
        <f ca="1">Capacity!$K$156</f>
        <v>#NAME?</v>
      </c>
      <c r="G64" s="2454" t="e">
        <f ca="1">Capacity!$K$197</f>
        <v>#NAME?</v>
      </c>
      <c r="H64" s="1485" t="e">
        <f ca="1">Capacity!$K$197</f>
        <v>#NAME?</v>
      </c>
    </row>
    <row r="65" spans="2:8" ht="17" thickTop="1" x14ac:dyDescent="0.2">
      <c r="B65" s="1259" t="s">
        <v>1205</v>
      </c>
      <c r="C65" s="2452" t="e">
        <f ca="1">C64+SUM(C60:C61)</f>
        <v>#NAME?</v>
      </c>
      <c r="D65" s="2452"/>
      <c r="E65" s="2452"/>
      <c r="F65" s="2452"/>
      <c r="G65" s="2455"/>
      <c r="H65" s="796"/>
    </row>
    <row r="66" spans="2:8" x14ac:dyDescent="0.2">
      <c r="B66" s="1260" t="s">
        <v>1206</v>
      </c>
      <c r="C66" s="2453" t="e">
        <f ca="1">C64</f>
        <v>#NAME?</v>
      </c>
      <c r="D66" s="2453" t="e">
        <f ca="1">D64+C66</f>
        <v>#NAME?</v>
      </c>
      <c r="E66" s="2453" t="e">
        <f ca="1">E64+D66</f>
        <v>#NAME?</v>
      </c>
      <c r="F66" s="2453" t="e">
        <f ca="1">F64+E66</f>
        <v>#NAME?</v>
      </c>
      <c r="G66" s="2456" t="e">
        <f ca="1">G64+F66</f>
        <v>#NAME?</v>
      </c>
      <c r="H66" s="688" t="e">
        <f ca="1">H64+G66</f>
        <v>#NAME?</v>
      </c>
    </row>
    <row r="67" spans="2:8" x14ac:dyDescent="0.2">
      <c r="B67" s="815"/>
      <c r="C67" s="1153"/>
      <c r="D67" s="816"/>
      <c r="E67" s="816"/>
      <c r="F67" s="816"/>
      <c r="G67" s="816"/>
      <c r="H67" s="815"/>
    </row>
    <row r="68" spans="2:8" x14ac:dyDescent="0.2">
      <c r="B68" s="1151" t="s">
        <v>1207</v>
      </c>
      <c r="C68" s="829"/>
      <c r="D68" s="829"/>
      <c r="E68" s="829"/>
      <c r="F68" s="829"/>
      <c r="G68" s="829"/>
      <c r="H68" s="830"/>
    </row>
    <row r="69" spans="2:8" x14ac:dyDescent="0.2">
      <c r="B69" s="700" t="s">
        <v>1208</v>
      </c>
      <c r="C69" s="2457">
        <f>Valuation!N12</f>
        <v>0.12567799999999998</v>
      </c>
      <c r="E69" s="1254"/>
      <c r="H69" s="796"/>
    </row>
    <row r="70" spans="2:8" x14ac:dyDescent="0.2">
      <c r="B70" s="700" t="s">
        <v>1209</v>
      </c>
      <c r="C70" s="2458">
        <v>0.1</v>
      </c>
      <c r="D70" s="147"/>
      <c r="E70" s="147"/>
      <c r="F70" s="147"/>
      <c r="G70" s="147"/>
      <c r="H70" s="796"/>
    </row>
    <row r="71" spans="2:8" x14ac:dyDescent="0.2">
      <c r="B71" s="700" t="s">
        <v>1210</v>
      </c>
      <c r="C71" s="2458">
        <v>0.35</v>
      </c>
      <c r="D71" s="147"/>
      <c r="E71" s="147"/>
      <c r="F71" s="147"/>
      <c r="G71" s="147"/>
      <c r="H71" s="796"/>
    </row>
    <row r="72" spans="2:8" x14ac:dyDescent="0.2">
      <c r="B72" s="701" t="s">
        <v>1211</v>
      </c>
      <c r="C72" s="2459">
        <f>CompCo!R9</f>
        <v>5.6016434299328392E-2</v>
      </c>
      <c r="D72" s="826"/>
      <c r="E72" s="826"/>
      <c r="F72" s="826"/>
      <c r="G72" s="826"/>
      <c r="H72" s="827"/>
    </row>
    <row r="73" spans="2:8" ht="17" thickBot="1" x14ac:dyDescent="0.25">
      <c r="B73" s="147"/>
      <c r="C73" s="1418"/>
      <c r="D73" s="147"/>
      <c r="E73" s="147"/>
      <c r="F73" s="147"/>
      <c r="G73" s="147"/>
      <c r="H73" s="147"/>
    </row>
    <row r="74" spans="2:8" ht="18" thickTop="1" thickBot="1" x14ac:dyDescent="0.25">
      <c r="B74" s="817" t="s">
        <v>1212</v>
      </c>
      <c r="C74" s="1486" t="e">
        <f ca="1">'Balance Sheet'!C24</f>
        <v>#NAME?</v>
      </c>
      <c r="D74" s="147"/>
      <c r="E74" s="147"/>
      <c r="F74" s="147"/>
      <c r="G74" s="147"/>
      <c r="H74" s="147"/>
    </row>
    <row r="75" spans="2:8" ht="17" thickTop="1" x14ac:dyDescent="0.2">
      <c r="B75" s="1523"/>
      <c r="C75" s="1523"/>
      <c r="D75" s="1523"/>
      <c r="E75" s="1523"/>
      <c r="F75" s="1523"/>
      <c r="G75" s="1523"/>
      <c r="H75" s="1523"/>
    </row>
    <row r="76" spans="2:8" x14ac:dyDescent="0.2">
      <c r="B76" s="149"/>
      <c r="C76" s="149"/>
      <c r="D76" s="149"/>
      <c r="E76" s="149"/>
      <c r="F76" s="149"/>
      <c r="G76" s="149"/>
      <c r="H76" s="149"/>
    </row>
    <row r="77" spans="2:8" x14ac:dyDescent="0.2">
      <c r="B77" s="149"/>
      <c r="C77" s="149"/>
      <c r="D77" s="149"/>
      <c r="E77" s="149"/>
      <c r="F77" s="149"/>
      <c r="G77" s="149"/>
      <c r="H77" s="149"/>
    </row>
  </sheetData>
  <mergeCells count="4">
    <mergeCell ref="B7:H7"/>
    <mergeCell ref="B21:H21"/>
    <mergeCell ref="B57:H57"/>
    <mergeCell ref="B63:H63"/>
  </mergeCells>
  <phoneticPr fontId="59" type="noConversion"/>
  <hyperlinks>
    <hyperlink ref="A1" location="INDEX!A1" display="Index"/>
  </hyperlinks>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M54"/>
  <sheetViews>
    <sheetView workbookViewId="0"/>
  </sheetViews>
  <sheetFormatPr baseColWidth="10" defaultColWidth="8.83203125" defaultRowHeight="16" x14ac:dyDescent="0.2"/>
  <cols>
    <col min="1" max="1" width="8.83203125" style="2"/>
    <col min="2" max="2" width="37.5" style="146" customWidth="1"/>
    <col min="3" max="3" width="13.1640625" style="2" customWidth="1"/>
    <col min="4" max="4" width="14" style="2" customWidth="1"/>
    <col min="5" max="5" width="13.6640625" style="2" customWidth="1"/>
    <col min="6" max="8" width="14.6640625" style="2" customWidth="1"/>
    <col min="9" max="9" width="10.1640625" style="2" bestFit="1" customWidth="1"/>
    <col min="10" max="10" width="11.6640625" style="2" bestFit="1" customWidth="1"/>
    <col min="11" max="12" width="8.83203125" style="2"/>
    <col min="13" max="13" width="17.1640625" style="2" customWidth="1"/>
    <col min="14" max="14" width="22.6640625" style="2" customWidth="1"/>
    <col min="15" max="15" width="8.83203125" style="2"/>
    <col min="16" max="16" width="26.1640625" style="2" customWidth="1"/>
    <col min="17" max="16384" width="8.83203125" style="2"/>
  </cols>
  <sheetData>
    <row r="1" spans="1:9" ht="17" thickBot="1" x14ac:dyDescent="0.25">
      <c r="A1" s="1771" t="s">
        <v>38</v>
      </c>
    </row>
    <row r="2" spans="1:9" ht="21" customHeight="1" x14ac:dyDescent="0.2">
      <c r="A2" s="1771"/>
      <c r="B2" s="2834" t="s">
        <v>1531</v>
      </c>
      <c r="C2" s="2835"/>
      <c r="D2" s="2835"/>
      <c r="E2" s="2835"/>
      <c r="F2" s="2835"/>
      <c r="G2" s="2835"/>
      <c r="H2" s="2836"/>
    </row>
    <row r="3" spans="1:9" ht="16" customHeight="1" x14ac:dyDescent="0.2">
      <c r="A3" s="1771"/>
      <c r="B3" s="2837" t="s">
        <v>1532</v>
      </c>
      <c r="C3" s="2838"/>
      <c r="D3" s="2838"/>
      <c r="E3" s="2838"/>
      <c r="F3" s="2838"/>
      <c r="G3" s="2838"/>
      <c r="H3" s="2755"/>
    </row>
    <row r="4" spans="1:9" ht="18" customHeight="1" thickBot="1" x14ac:dyDescent="0.25">
      <c r="A4" s="1771"/>
      <c r="B4" s="2839" t="s">
        <v>1533</v>
      </c>
      <c r="C4" s="2840"/>
      <c r="D4" s="2840"/>
      <c r="E4" s="2840"/>
      <c r="F4" s="2840"/>
      <c r="G4" s="2840"/>
      <c r="H4" s="2750"/>
    </row>
    <row r="5" spans="1:9" x14ac:dyDescent="0.2">
      <c r="A5" s="1771"/>
    </row>
    <row r="6" spans="1:9" x14ac:dyDescent="0.2">
      <c r="B6" s="145" t="s">
        <v>1134</v>
      </c>
      <c r="C6" s="145"/>
    </row>
    <row r="7" spans="1:9" x14ac:dyDescent="0.2">
      <c r="B7" s="145" t="s">
        <v>29</v>
      </c>
      <c r="C7" s="145"/>
    </row>
    <row r="8" spans="1:9" ht="17" thickBot="1" x14ac:dyDescent="0.25">
      <c r="B8" s="146" t="s">
        <v>1137</v>
      </c>
      <c r="C8" s="696" t="s">
        <v>1213</v>
      </c>
      <c r="D8" s="696" t="s">
        <v>71</v>
      </c>
      <c r="E8" s="696" t="s">
        <v>72</v>
      </c>
      <c r="F8" s="696" t="s">
        <v>73</v>
      </c>
      <c r="G8" s="696" t="s">
        <v>74</v>
      </c>
      <c r="H8" s="696" t="s">
        <v>75</v>
      </c>
    </row>
    <row r="9" spans="1:9" ht="15" customHeight="1" thickTop="1" thickBot="1" x14ac:dyDescent="0.25">
      <c r="B9" s="2824" t="s">
        <v>29</v>
      </c>
      <c r="C9" s="2825"/>
      <c r="D9" s="2825"/>
      <c r="E9" s="2825"/>
      <c r="F9" s="2825"/>
      <c r="G9" s="2825"/>
      <c r="H9" s="2826"/>
      <c r="I9" s="149"/>
    </row>
    <row r="10" spans="1:9" ht="17" thickTop="1" x14ac:dyDescent="0.2">
      <c r="B10" s="1243" t="s">
        <v>1214</v>
      </c>
      <c r="C10" s="2460">
        <v>0</v>
      </c>
      <c r="D10" s="2465" t="e">
        <f ca="1">'BASES MODEL (Base Case)'!C37*'BASES MODEL (Base Case)'!C38</f>
        <v>#NAME?</v>
      </c>
      <c r="E10" s="2465" t="e">
        <f ca="1">'BASES MODEL (Base Case)'!D37*'BASES MODEL (Base Case)'!D38</f>
        <v>#NAME?</v>
      </c>
      <c r="F10" s="2465" t="e">
        <f ca="1">'BASES MODEL (Base Case)'!E37*'BASES MODEL (Base Case)'!E38</f>
        <v>#NAME?</v>
      </c>
      <c r="G10" s="2465" t="e">
        <f ca="1">'BASES MODEL (Base Case)'!F37*'BASES MODEL (Base Case)'!F38</f>
        <v>#NAME?</v>
      </c>
      <c r="H10" s="2465" t="e">
        <f ca="1">'BASES MODEL (Base Case)'!G37*'BASES MODEL (Base Case)'!G38</f>
        <v>#NAME?</v>
      </c>
    </row>
    <row r="11" spans="1:9" x14ac:dyDescent="0.2">
      <c r="B11" s="1105" t="s">
        <v>1215</v>
      </c>
      <c r="C11" s="2461">
        <f>-'FE Assumptions'!C46*'FE Assumptions'!C34</f>
        <v>0</v>
      </c>
      <c r="D11" s="2466" t="e">
        <f ca="1">-'FE Assumptions'!D46*'BASES MODEL (Base Case)'!C37</f>
        <v>#NAME?</v>
      </c>
      <c r="E11" s="2466" t="e">
        <f ca="1">-'FE Assumptions'!E46*'BASES MODEL (Base Case)'!D37</f>
        <v>#NAME?</v>
      </c>
      <c r="F11" s="2466" t="e">
        <f ca="1">-'FE Assumptions'!F46*'BASES MODEL (Base Case)'!E37</f>
        <v>#NAME?</v>
      </c>
      <c r="G11" s="2466" t="e">
        <f ca="1">-'FE Assumptions'!G46*'BASES MODEL (Base Case)'!F37</f>
        <v>#NAME?</v>
      </c>
      <c r="H11" s="2466" t="e">
        <f ca="1">-'FE Assumptions'!H46*'BASES MODEL (Base Case)'!G37</f>
        <v>#NAME?</v>
      </c>
    </row>
    <row r="12" spans="1:9" ht="17" thickBot="1" x14ac:dyDescent="0.25">
      <c r="B12" s="1273" t="s">
        <v>1216</v>
      </c>
      <c r="C12" s="2462">
        <f>-'FE Assumptions'!C48</f>
        <v>0</v>
      </c>
      <c r="D12" s="2623" t="e">
        <f ca="1">-'FE Assumptions'!D48+'Risk Mitigation Cost'!F4+'Risk Mitigation Cost'!F5</f>
        <v>#NAME?</v>
      </c>
      <c r="E12" s="2623" t="e">
        <f ca="1">-'FE Assumptions'!E48+'Risk Mitigation Cost'!G4+'Risk Mitigation Cost'!G5</f>
        <v>#NAME?</v>
      </c>
      <c r="F12" s="2623" t="e">
        <f ca="1">-'FE Assumptions'!F48+'Risk Mitigation Cost'!H4+'Risk Mitigation Cost'!H5</f>
        <v>#NAME?</v>
      </c>
      <c r="G12" s="2623" t="e">
        <f ca="1">-'FE Assumptions'!G48+'Risk Mitigation Cost'!I4+'Risk Mitigation Cost'!I5</f>
        <v>#NAME?</v>
      </c>
      <c r="H12" s="2623" t="e">
        <f ca="1">-'FE Assumptions'!H48+'Risk Mitigation Cost'!J4+'Risk Mitigation Cost'!J5</f>
        <v>#NAME?</v>
      </c>
    </row>
    <row r="13" spans="1:9" ht="18" thickTop="1" thickBot="1" x14ac:dyDescent="0.25">
      <c r="B13" s="1274" t="s">
        <v>1181</v>
      </c>
      <c r="C13" s="2462"/>
      <c r="D13" s="2467" t="e">
        <f ca="1">SUM(D11:D12)</f>
        <v>#NAME?</v>
      </c>
      <c r="E13" s="2467" t="e">
        <f ca="1">SUM(E11:E12)</f>
        <v>#NAME?</v>
      </c>
      <c r="F13" s="2467" t="e">
        <f ca="1">SUM(F11:F12)</f>
        <v>#NAME?</v>
      </c>
      <c r="G13" s="2467" t="e">
        <f ca="1">SUM(G11:G12)</f>
        <v>#NAME?</v>
      </c>
      <c r="H13" s="1242" t="e">
        <f ca="1">SUM(H11:H12)</f>
        <v>#NAME?</v>
      </c>
    </row>
    <row r="14" spans="1:9" ht="17" thickTop="1" x14ac:dyDescent="0.2">
      <c r="B14" s="1243" t="s">
        <v>1217</v>
      </c>
      <c r="C14" s="2461"/>
      <c r="D14" s="2466" t="e">
        <f ca="1">SUM(D10,D13)</f>
        <v>#NAME?</v>
      </c>
      <c r="E14" s="2466" t="e">
        <f ca="1">SUM(E10,E13)</f>
        <v>#NAME?</v>
      </c>
      <c r="F14" s="2466" t="e">
        <f ca="1">SUM(F10,F13)</f>
        <v>#NAME?</v>
      </c>
      <c r="G14" s="2466" t="e">
        <f ca="1">SUM(G10,G13)</f>
        <v>#NAME?</v>
      </c>
      <c r="H14" s="622" t="e">
        <f ca="1">SUM(H10,H13)</f>
        <v>#NAME?</v>
      </c>
    </row>
    <row r="15" spans="1:9" x14ac:dyDescent="0.2">
      <c r="B15" s="744" t="s">
        <v>1218</v>
      </c>
      <c r="C15" s="2461" t="e">
        <f ca="1">-'FE Assumptions'!$C$23</f>
        <v>#NAME?</v>
      </c>
      <c r="D15" s="2466" t="s">
        <v>1167</v>
      </c>
      <c r="E15" s="2466" t="s">
        <v>1167</v>
      </c>
      <c r="F15" s="2466" t="s">
        <v>1167</v>
      </c>
      <c r="G15" s="2466" t="s">
        <v>1167</v>
      </c>
      <c r="H15" s="622" t="s">
        <v>1167</v>
      </c>
    </row>
    <row r="16" spans="1:9" x14ac:dyDescent="0.2">
      <c r="B16" s="1105" t="s">
        <v>1219</v>
      </c>
      <c r="C16" s="2461">
        <f>-'FE Assumptions'!C54</f>
        <v>-223003.25</v>
      </c>
      <c r="D16" s="2466" t="e">
        <f ca="1">-'FE Assumptions'!D54</f>
        <v>#NAME?</v>
      </c>
      <c r="E16" s="2466" t="e">
        <f ca="1">-'FE Assumptions'!E54</f>
        <v>#NAME?</v>
      </c>
      <c r="F16" s="2466" t="e">
        <f ca="1">-'FE Assumptions'!F54</f>
        <v>#NAME?</v>
      </c>
      <c r="G16" s="2466" t="e">
        <f ca="1">-'FE Assumptions'!G54</f>
        <v>#NAME?</v>
      </c>
      <c r="H16" s="622" t="e">
        <f ca="1">-'FE Assumptions'!H54</f>
        <v>#NAME?</v>
      </c>
    </row>
    <row r="17" spans="2:13" x14ac:dyDescent="0.2">
      <c r="B17" s="1105" t="s">
        <v>1220</v>
      </c>
      <c r="C17" s="2461">
        <f>-'FE Assumptions'!C55</f>
        <v>0</v>
      </c>
      <c r="D17" s="2624">
        <f>-'FE Assumptions'!D55+'Risk Mitigation Cost'!F6+'Risk Mitigation Cost'!F7</f>
        <v>-188323.69999999998</v>
      </c>
      <c r="E17" s="2624">
        <f>-'FE Assumptions'!E55+'Risk Mitigation Cost'!G6+'Risk Mitigation Cost'!G7</f>
        <v>-188323.69999999998</v>
      </c>
      <c r="F17" s="2624">
        <f>-'FE Assumptions'!F55+'Risk Mitigation Cost'!H6+'Risk Mitigation Cost'!H7</f>
        <v>-490504.84913876199</v>
      </c>
      <c r="G17" s="2624">
        <f>-'FE Assumptions'!G55+'Risk Mitigation Cost'!I6+'Risk Mitigation Cost'!I7</f>
        <v>-534004.84913876199</v>
      </c>
      <c r="H17" s="2624">
        <f>-'FE Assumptions'!H55+'Risk Mitigation Cost'!J6+'Risk Mitigation Cost'!J7</f>
        <v>-534004.84913876199</v>
      </c>
    </row>
    <row r="18" spans="2:13" ht="32" x14ac:dyDescent="0.2">
      <c r="B18" s="1105" t="s">
        <v>1221</v>
      </c>
      <c r="C18" s="2463" t="s">
        <v>1167</v>
      </c>
      <c r="D18" s="2468">
        <f>-'FE Assumptions'!D56</f>
        <v>0</v>
      </c>
      <c r="E18" s="2468">
        <f>-'FE Assumptions'!E56</f>
        <v>0</v>
      </c>
      <c r="F18" s="2468" t="e">
        <f ca="1">-'FE Assumptions'!F56</f>
        <v>#NAME?</v>
      </c>
      <c r="G18" s="2468" t="e">
        <f ca="1">-'FE Assumptions'!G56</f>
        <v>#NAME?</v>
      </c>
      <c r="H18" s="1238" t="e">
        <f ca="1">-'FE Assumptions'!H56</f>
        <v>#NAME?</v>
      </c>
      <c r="I18" s="2">
        <v>-2070033.8430590085</v>
      </c>
    </row>
    <row r="19" spans="2:13" ht="33" thickBot="1" x14ac:dyDescent="0.25">
      <c r="B19" s="1273" t="s">
        <v>1222</v>
      </c>
      <c r="C19" s="2464">
        <f>-'FE Assumptions'!C57</f>
        <v>0</v>
      </c>
      <c r="D19" s="2469" t="e">
        <f ca="1">-'FE Assumptions'!D57</f>
        <v>#NAME?</v>
      </c>
      <c r="E19" s="2469" t="e">
        <f ca="1">-'FE Assumptions'!E57</f>
        <v>#NAME?</v>
      </c>
      <c r="F19" s="2469" t="e">
        <f ca="1">-'FE Assumptions'!F57</f>
        <v>#NAME?</v>
      </c>
      <c r="G19" s="2469" t="e">
        <f ca="1">-'FE Assumptions'!G57</f>
        <v>#NAME?</v>
      </c>
      <c r="H19" s="1240" t="e">
        <f ca="1">-'FE Assumptions'!H57</f>
        <v>#NAME?</v>
      </c>
      <c r="I19" s="2">
        <v>0.23534458072511955</v>
      </c>
      <c r="J19" s="2">
        <v>-7.9218663851694515E-3</v>
      </c>
      <c r="K19" s="2">
        <v>0.3315975379948628</v>
      </c>
      <c r="L19" s="2">
        <v>7.4677464548225103E-2</v>
      </c>
      <c r="M19" s="2">
        <v>7.9223918467400192E-2</v>
      </c>
    </row>
    <row r="20" spans="2:13" ht="17" thickTop="1" x14ac:dyDescent="0.2">
      <c r="B20" s="1275" t="s">
        <v>1223</v>
      </c>
      <c r="C20" s="2461" t="e">
        <f t="shared" ref="C20" ca="1" si="0">SUM(C15:C19)</f>
        <v>#NAME?</v>
      </c>
      <c r="D20" s="2624" t="e">
        <f ca="1">RiskNormal(J22,K22)</f>
        <v>#NAME?</v>
      </c>
      <c r="E20" s="2624" t="e">
        <f ca="1">D20*(1+J19)</f>
        <v>#NAME?</v>
      </c>
      <c r="F20" s="2624" t="e">
        <f t="shared" ref="F20:H20" ca="1" si="1">E20*(1+K19)</f>
        <v>#NAME?</v>
      </c>
      <c r="G20" s="2624" t="e">
        <f t="shared" ca="1" si="1"/>
        <v>#NAME?</v>
      </c>
      <c r="H20" s="2624" t="e">
        <f t="shared" ca="1" si="1"/>
        <v>#NAME?</v>
      </c>
      <c r="I20" s="2564" t="e">
        <f ca="1">(E20-D20)/D20</f>
        <v>#NAME?</v>
      </c>
      <c r="J20" s="2564" t="e">
        <f t="shared" ref="J20:L20" ca="1" si="2">(F20-E20)/E20</f>
        <v>#NAME?</v>
      </c>
      <c r="K20" s="2564" t="e">
        <f t="shared" ca="1" si="2"/>
        <v>#NAME?</v>
      </c>
      <c r="L20" s="2564" t="e">
        <f t="shared" ca="1" si="2"/>
        <v>#NAME?</v>
      </c>
      <c r="M20" s="2563"/>
    </row>
    <row r="21" spans="2:13" x14ac:dyDescent="0.2">
      <c r="B21" s="1105" t="s">
        <v>1224</v>
      </c>
      <c r="C21" s="2461" t="e">
        <f ca="1">-'FE Assumptions'!C52</f>
        <v>#NAME?</v>
      </c>
      <c r="D21" s="2660" t="e">
        <f ca="1">-'FE Assumptions'!D52</f>
        <v>#NAME?</v>
      </c>
      <c r="E21" s="2660" t="e">
        <f ca="1">-'FE Assumptions'!E52</f>
        <v>#NAME?</v>
      </c>
      <c r="F21" s="2660" t="e">
        <f ca="1">-'FE Assumptions'!F52</f>
        <v>#NAME?</v>
      </c>
      <c r="G21" s="2660" t="e">
        <f ca="1">-'FE Assumptions'!G52</f>
        <v>#NAME?</v>
      </c>
      <c r="H21" s="2660" t="e">
        <f ca="1">-'FE Assumptions'!H52</f>
        <v>#NAME?</v>
      </c>
      <c r="J21" s="2622" t="s">
        <v>1502</v>
      </c>
      <c r="K21" s="2619" t="s">
        <v>1506</v>
      </c>
    </row>
    <row r="22" spans="2:13" ht="17" thickBot="1" x14ac:dyDescent="0.25">
      <c r="B22" s="1273" t="s">
        <v>1196</v>
      </c>
      <c r="C22" s="2462" t="e">
        <f ca="1">-'FE Assumptions'!$D$58</f>
        <v>#NAME?</v>
      </c>
      <c r="D22" s="2471" t="e">
        <f ca="1">-'FE Assumptions'!$D$58</f>
        <v>#NAME?</v>
      </c>
      <c r="E22" s="2471" t="e">
        <f ca="1">-'FE Assumptions'!$E$58</f>
        <v>#NAME?</v>
      </c>
      <c r="F22" s="2471" t="e">
        <f ca="1">-'FE Assumptions'!$F$58</f>
        <v>#NAME?</v>
      </c>
      <c r="G22" s="2471" t="e">
        <f ca="1">-'FE Assumptions'!$G$58</f>
        <v>#NAME?</v>
      </c>
      <c r="H22" s="1241" t="e">
        <f ca="1">-'FE Assumptions'!$H$58</f>
        <v>#NAME?</v>
      </c>
      <c r="J22" s="2619">
        <v>-2070033.8</v>
      </c>
      <c r="K22" s="2619">
        <v>248404.05600000001</v>
      </c>
    </row>
    <row r="23" spans="2:13" ht="18" thickTop="1" thickBot="1" x14ac:dyDescent="0.25">
      <c r="B23" s="1276" t="s">
        <v>1225</v>
      </c>
      <c r="C23" s="2462" t="e">
        <f t="shared" ref="C23:H23" ca="1" si="3">SUM(C21:C22)</f>
        <v>#NAME?</v>
      </c>
      <c r="D23" s="2467" t="e">
        <f t="shared" ca="1" si="3"/>
        <v>#NAME?</v>
      </c>
      <c r="E23" s="2467" t="e">
        <f t="shared" ca="1" si="3"/>
        <v>#NAME?</v>
      </c>
      <c r="F23" s="2467" t="e">
        <f t="shared" ca="1" si="3"/>
        <v>#NAME?</v>
      </c>
      <c r="G23" s="2467" t="e">
        <f t="shared" ca="1" si="3"/>
        <v>#NAME?</v>
      </c>
      <c r="H23" s="1242" t="e">
        <f t="shared" ca="1" si="3"/>
        <v>#NAME?</v>
      </c>
    </row>
    <row r="24" spans="2:13" ht="17" thickTop="1" x14ac:dyDescent="0.2">
      <c r="B24" s="1275" t="s">
        <v>1226</v>
      </c>
      <c r="C24" s="2461" t="e">
        <f t="shared" ref="C24:H24" ca="1" si="4">C14+C20+C23</f>
        <v>#NAME?</v>
      </c>
      <c r="D24" s="2466" t="e">
        <f t="shared" ca="1" si="4"/>
        <v>#NAME?</v>
      </c>
      <c r="E24" s="2466" t="e">
        <f t="shared" ca="1" si="4"/>
        <v>#NAME?</v>
      </c>
      <c r="F24" s="2466" t="e">
        <f t="shared" ca="1" si="4"/>
        <v>#NAME?</v>
      </c>
      <c r="G24" s="2466" t="e">
        <f t="shared" ca="1" si="4"/>
        <v>#NAME?</v>
      </c>
      <c r="H24" s="622" t="e">
        <f t="shared" ca="1" si="4"/>
        <v>#NAME?</v>
      </c>
    </row>
    <row r="25" spans="2:13" x14ac:dyDescent="0.2">
      <c r="B25" s="1105" t="s">
        <v>1227</v>
      </c>
      <c r="C25" s="2461" t="e">
        <f ca="1">-'Depreciation Tables'!$G$4</f>
        <v>#NAME?</v>
      </c>
      <c r="D25" s="2466" t="e">
        <f ca="1">-'Depreciation Tables'!$G$5</f>
        <v>#NAME?</v>
      </c>
      <c r="E25" s="2466" t="e">
        <f ca="1">-'Depreciation Tables'!$G$6</f>
        <v>#NAME?</v>
      </c>
      <c r="F25" s="2466" t="e">
        <f ca="1">-'Depreciation Tables'!$G$7</f>
        <v>#NAME?</v>
      </c>
      <c r="G25" s="2466" t="e">
        <f ca="1">-'Depreciation Tables'!$G$8</f>
        <v>#NAME?</v>
      </c>
      <c r="H25" s="622" t="e">
        <f ca="1">-'Depreciation Tables'!$G$9</f>
        <v>#NAME?</v>
      </c>
    </row>
    <row r="26" spans="2:13" x14ac:dyDescent="0.2">
      <c r="B26" s="1105" t="s">
        <v>1228</v>
      </c>
      <c r="C26" s="2461" t="e">
        <f ca="1">-'Depreciation Tables'!$L$4</f>
        <v>#NAME?</v>
      </c>
      <c r="D26" s="2466" t="e">
        <f ca="1">-'Depreciation Tables'!$L$5</f>
        <v>#NAME?</v>
      </c>
      <c r="E26" s="2466" t="e">
        <f ca="1">-'Depreciation Tables'!$L$6</f>
        <v>#NAME?</v>
      </c>
      <c r="F26" s="2466" t="e">
        <f ca="1">-'Depreciation Tables'!$L$7</f>
        <v>#NAME?</v>
      </c>
      <c r="G26" s="2466" t="e">
        <f ca="1">-'Depreciation Tables'!$L$8</f>
        <v>#NAME?</v>
      </c>
      <c r="H26" s="622" t="e">
        <f ca="1">-'Depreciation Tables'!$L$9</f>
        <v>#NAME?</v>
      </c>
    </row>
    <row r="27" spans="2:13" ht="17" thickBot="1" x14ac:dyDescent="0.25">
      <c r="B27" s="1244" t="s">
        <v>1229</v>
      </c>
      <c r="C27" s="2462" t="e">
        <f t="shared" ref="C27:H27" ca="1" si="5">SUM(C25:C26)</f>
        <v>#NAME?</v>
      </c>
      <c r="D27" s="2467" t="e">
        <f t="shared" ca="1" si="5"/>
        <v>#NAME?</v>
      </c>
      <c r="E27" s="2467" t="e">
        <f t="shared" ca="1" si="5"/>
        <v>#NAME?</v>
      </c>
      <c r="F27" s="2467" t="e">
        <f t="shared" ca="1" si="5"/>
        <v>#NAME?</v>
      </c>
      <c r="G27" s="2467" t="e">
        <f t="shared" ca="1" si="5"/>
        <v>#NAME?</v>
      </c>
      <c r="H27" s="1242" t="e">
        <f t="shared" ca="1" si="5"/>
        <v>#NAME?</v>
      </c>
    </row>
    <row r="28" spans="2:13" ht="17" thickTop="1" x14ac:dyDescent="0.2">
      <c r="B28" s="1243" t="s">
        <v>1230</v>
      </c>
      <c r="C28" s="2461" t="e">
        <f ca="1">SUM(C24,C27)</f>
        <v>#NAME?</v>
      </c>
      <c r="D28" s="2466" t="e">
        <f t="shared" ref="D28:H28" ca="1" si="6">SUM(D24,D27)</f>
        <v>#NAME?</v>
      </c>
      <c r="E28" s="2466" t="e">
        <f t="shared" ca="1" si="6"/>
        <v>#NAME?</v>
      </c>
      <c r="F28" s="2466" t="e">
        <f t="shared" ca="1" si="6"/>
        <v>#NAME?</v>
      </c>
      <c r="G28" s="2466" t="e">
        <f t="shared" ca="1" si="6"/>
        <v>#NAME?</v>
      </c>
      <c r="H28" s="622" t="e">
        <f t="shared" ca="1" si="6"/>
        <v>#NAME?</v>
      </c>
      <c r="I28" s="621"/>
      <c r="K28" s="1"/>
    </row>
    <row r="29" spans="2:13" ht="17" thickBot="1" x14ac:dyDescent="0.25">
      <c r="B29" s="1244" t="s">
        <v>1231</v>
      </c>
      <c r="C29" s="2462" t="e">
        <f ca="1">IF(C28&gt;0,-C28*0.01,0)</f>
        <v>#NAME?</v>
      </c>
      <c r="D29" s="2467" t="e">
        <f t="shared" ref="D29:H29" ca="1" si="7">IF(D28&gt;0,-D28*0.01,0)</f>
        <v>#NAME?</v>
      </c>
      <c r="E29" s="2467" t="e">
        <f t="shared" ca="1" si="7"/>
        <v>#NAME?</v>
      </c>
      <c r="F29" s="2467" t="e">
        <f t="shared" ca="1" si="7"/>
        <v>#NAME?</v>
      </c>
      <c r="G29" s="2467" t="e">
        <f t="shared" ca="1" si="7"/>
        <v>#NAME?</v>
      </c>
      <c r="H29" s="1242" t="e">
        <f t="shared" ca="1" si="7"/>
        <v>#NAME?</v>
      </c>
      <c r="I29" s="621"/>
      <c r="K29" s="1"/>
    </row>
    <row r="30" spans="2:13" ht="17" thickTop="1" x14ac:dyDescent="0.2">
      <c r="B30" s="1243" t="s">
        <v>1232</v>
      </c>
      <c r="C30" s="2461" t="e">
        <f ca="1">SUM(C28:C29)</f>
        <v>#NAME?</v>
      </c>
      <c r="D30" s="2466" t="e">
        <f t="shared" ref="D30:H30" ca="1" si="8">SUM(D28:D29)</f>
        <v>#NAME?</v>
      </c>
      <c r="E30" s="2466" t="e">
        <f t="shared" ca="1" si="8"/>
        <v>#NAME?</v>
      </c>
      <c r="F30" s="2466" t="e">
        <f t="shared" ca="1" si="8"/>
        <v>#NAME?</v>
      </c>
      <c r="G30" s="2466" t="e">
        <f t="shared" ca="1" si="8"/>
        <v>#NAME?</v>
      </c>
      <c r="H30" s="622" t="e">
        <f t="shared" ca="1" si="8"/>
        <v>#NAME?</v>
      </c>
      <c r="I30" s="621"/>
      <c r="K30" s="1"/>
    </row>
    <row r="31" spans="2:13" ht="17" thickBot="1" x14ac:dyDescent="0.25">
      <c r="B31" s="1273" t="s">
        <v>1233</v>
      </c>
      <c r="C31" s="2462" t="e">
        <f ca="1">-0.35*C30</f>
        <v>#NAME?</v>
      </c>
      <c r="D31" s="2467" t="e">
        <f t="shared" ref="D31:H31" ca="1" si="9">-0.35*D30</f>
        <v>#NAME?</v>
      </c>
      <c r="E31" s="2467" t="e">
        <f t="shared" ca="1" si="9"/>
        <v>#NAME?</v>
      </c>
      <c r="F31" s="2467" t="e">
        <f t="shared" ca="1" si="9"/>
        <v>#NAME?</v>
      </c>
      <c r="G31" s="2467" t="e">
        <f t="shared" ca="1" si="9"/>
        <v>#NAME?</v>
      </c>
      <c r="H31" s="1242" t="e">
        <f t="shared" ca="1" si="9"/>
        <v>#NAME?</v>
      </c>
    </row>
    <row r="32" spans="2:13" ht="18" thickTop="1" thickBot="1" x14ac:dyDescent="0.25">
      <c r="B32" s="1277" t="s">
        <v>1234</v>
      </c>
      <c r="C32" s="1239" t="e">
        <f ca="1">SUM(C30,C31)</f>
        <v>#NAME?</v>
      </c>
      <c r="D32" s="1239" t="e">
        <f t="shared" ref="D32:H32" ca="1" si="10">SUM(D30,D31)</f>
        <v>#NAME?</v>
      </c>
      <c r="E32" s="1239" t="e">
        <f t="shared" ca="1" si="10"/>
        <v>#NAME?</v>
      </c>
      <c r="F32" s="1239" t="e">
        <f t="shared" ca="1" si="10"/>
        <v>#NAME?</v>
      </c>
      <c r="G32" s="1239" t="e">
        <f t="shared" ca="1" si="10"/>
        <v>#NAME?</v>
      </c>
      <c r="H32" s="1388" t="e">
        <f t="shared" ca="1" si="10"/>
        <v>#NAME?</v>
      </c>
    </row>
    <row r="33" spans="1:10" ht="18" thickTop="1" thickBot="1" x14ac:dyDescent="0.25">
      <c r="A33" s="149"/>
      <c r="B33" s="1257"/>
      <c r="C33" s="1258"/>
      <c r="D33" s="1258"/>
      <c r="E33" s="1258"/>
      <c r="F33" s="1258"/>
      <c r="G33" s="1258"/>
      <c r="H33" s="1258"/>
      <c r="I33" s="149"/>
    </row>
    <row r="34" spans="1:10" ht="18" thickTop="1" thickBot="1" x14ac:dyDescent="0.25">
      <c r="B34" s="1173" t="s">
        <v>1235</v>
      </c>
      <c r="C34" s="2487"/>
      <c r="D34" s="2488"/>
      <c r="E34" s="2488" t="e">
        <f ca="1">-(E32-D32)/D32</f>
        <v>#NAME?</v>
      </c>
      <c r="F34" s="2488" t="e">
        <f ca="1">(F32-E32)/E32</f>
        <v>#NAME?</v>
      </c>
      <c r="G34" s="2488" t="e">
        <f ca="1">(G32-F32)/F32</f>
        <v>#NAME?</v>
      </c>
      <c r="H34" s="1193" t="e">
        <f ca="1">(H32-G32)/G32</f>
        <v>#NAME?</v>
      </c>
    </row>
    <row r="35" spans="1:10" ht="18" thickTop="1" thickBot="1" x14ac:dyDescent="0.25">
      <c r="B35" s="1255"/>
      <c r="C35" s="816"/>
      <c r="D35" s="816"/>
      <c r="E35" s="1256"/>
      <c r="F35" s="1256"/>
      <c r="G35" s="1256"/>
      <c r="H35" s="1256"/>
      <c r="I35" s="149"/>
    </row>
    <row r="36" spans="1:10" ht="18" thickTop="1" thickBot="1" x14ac:dyDescent="0.25">
      <c r="B36" s="2821" t="s">
        <v>1236</v>
      </c>
      <c r="C36" s="2822"/>
      <c r="D36" s="2822"/>
      <c r="E36" s="2822"/>
      <c r="F36" s="2822"/>
      <c r="G36" s="2822"/>
      <c r="H36" s="2823"/>
    </row>
    <row r="37" spans="1:10" ht="17" thickTop="1" x14ac:dyDescent="0.2">
      <c r="B37" s="708" t="s">
        <v>1234</v>
      </c>
      <c r="C37" s="2472" t="e">
        <f t="shared" ref="C37:H37" ca="1" si="11">C32</f>
        <v>#NAME?</v>
      </c>
      <c r="D37" s="2474" t="e">
        <f t="shared" ca="1" si="11"/>
        <v>#NAME?</v>
      </c>
      <c r="E37" s="2478" t="e">
        <f t="shared" ca="1" si="11"/>
        <v>#NAME?</v>
      </c>
      <c r="F37" s="2478" t="e">
        <f t="shared" ca="1" si="11"/>
        <v>#NAME?</v>
      </c>
      <c r="G37" s="2478" t="e">
        <f t="shared" ca="1" si="11"/>
        <v>#NAME?</v>
      </c>
      <c r="H37" s="1296" t="e">
        <f t="shared" ca="1" si="11"/>
        <v>#NAME?</v>
      </c>
    </row>
    <row r="38" spans="1:10" x14ac:dyDescent="0.2">
      <c r="B38" s="709" t="s">
        <v>1237</v>
      </c>
      <c r="C38" s="2418" t="e">
        <f ca="1">IF(Valuation!C11&gt;0,-Valuation!C11,0)</f>
        <v>#NAME?</v>
      </c>
      <c r="D38" s="2475" t="e">
        <f ca="1">IF(Valuation!D11&gt;0,-Valuation!D11,0)</f>
        <v>#NAME?</v>
      </c>
      <c r="E38" s="2475" t="e">
        <f ca="1">IF(Valuation!E11&gt;0,-Valuation!E11,0)</f>
        <v>#NAME?</v>
      </c>
      <c r="F38" s="2475" t="e">
        <f ca="1">IF(Valuation!F11&gt;0,-Valuation!F11,0)</f>
        <v>#NAME?</v>
      </c>
      <c r="G38" s="2475" t="e">
        <f ca="1">IF(Valuation!G11&gt;0,-Valuation!G11,0)</f>
        <v>#NAME?</v>
      </c>
      <c r="H38" s="524" t="e">
        <f ca="1">IF(Valuation!H11&gt;0,-Valuation!H11,0)</f>
        <v>#NAME?</v>
      </c>
      <c r="I38" s="678"/>
      <c r="J38" s="523"/>
    </row>
    <row r="39" spans="1:10" x14ac:dyDescent="0.2">
      <c r="A39" s="149"/>
      <c r="B39" s="1318" t="s">
        <v>1238</v>
      </c>
      <c r="C39" s="2473" t="e">
        <f t="shared" ref="C39:H39" ca="1" si="12">-C38/C37</f>
        <v>#NAME?</v>
      </c>
      <c r="D39" s="2476" t="e">
        <f t="shared" ca="1" si="12"/>
        <v>#NAME?</v>
      </c>
      <c r="E39" s="2476" t="e">
        <f t="shared" ca="1" si="12"/>
        <v>#NAME?</v>
      </c>
      <c r="F39" s="2476" t="e">
        <f t="shared" ca="1" si="12"/>
        <v>#NAME?</v>
      </c>
      <c r="G39" s="2476" t="e">
        <f t="shared" ca="1" si="12"/>
        <v>#NAME?</v>
      </c>
      <c r="H39" s="1522" t="e">
        <f t="shared" ca="1" si="12"/>
        <v>#NAME?</v>
      </c>
      <c r="I39" s="1319"/>
      <c r="J39" s="523"/>
    </row>
    <row r="40" spans="1:10" x14ac:dyDescent="0.2">
      <c r="A40" s="149"/>
      <c r="B40" s="1295" t="s">
        <v>1239</v>
      </c>
      <c r="C40" s="2402" t="e">
        <f t="shared" ref="C40:H40" ca="1" si="13">SUM(C37:C38)</f>
        <v>#NAME?</v>
      </c>
      <c r="D40" s="2477" t="e">
        <f t="shared" ca="1" si="13"/>
        <v>#NAME?</v>
      </c>
      <c r="E40" s="2477" t="e">
        <f t="shared" ca="1" si="13"/>
        <v>#NAME?</v>
      </c>
      <c r="F40" s="2477" t="e">
        <f t="shared" ca="1" si="13"/>
        <v>#NAME?</v>
      </c>
      <c r="G40" s="2477" t="e">
        <f t="shared" ca="1" si="13"/>
        <v>#NAME?</v>
      </c>
      <c r="H40" s="1320" t="e">
        <f t="shared" ca="1" si="13"/>
        <v>#NAME?</v>
      </c>
      <c r="I40" s="149"/>
    </row>
    <row r="41" spans="1:10" ht="17" thickBot="1" x14ac:dyDescent="0.25">
      <c r="A41" s="149"/>
      <c r="B41" s="1272"/>
      <c r="C41" s="149"/>
      <c r="D41" s="149"/>
      <c r="E41" s="149"/>
      <c r="F41" s="149"/>
      <c r="G41" s="149"/>
      <c r="H41" s="149"/>
      <c r="I41" s="149"/>
    </row>
    <row r="42" spans="1:10" ht="18" thickTop="1" thickBot="1" x14ac:dyDescent="0.25">
      <c r="B42" s="1391" t="s">
        <v>1240</v>
      </c>
      <c r="C42" s="1511"/>
      <c r="D42" s="1511"/>
      <c r="E42" s="1511"/>
      <c r="F42" s="1511"/>
      <c r="G42" s="1511"/>
      <c r="H42" s="1512"/>
    </row>
    <row r="43" spans="1:10" ht="17" thickTop="1" x14ac:dyDescent="0.2">
      <c r="B43" s="733" t="s">
        <v>1241</v>
      </c>
      <c r="C43" s="2479" t="s">
        <v>1167</v>
      </c>
      <c r="D43" s="2483" t="e">
        <f ca="1">-'Income Statement'!D14/'Income Statement'!D11</f>
        <v>#NAME?</v>
      </c>
      <c r="E43" s="2483" t="e">
        <f ca="1">-'Income Statement'!E14/'Income Statement'!E11</f>
        <v>#NAME?</v>
      </c>
      <c r="F43" s="2483" t="e">
        <f ca="1">-'Income Statement'!F14/'Income Statement'!F11</f>
        <v>#NAME?</v>
      </c>
      <c r="G43" s="2483" t="e">
        <f ca="1">-'Income Statement'!G14/'Income Statement'!G11</f>
        <v>#NAME?</v>
      </c>
      <c r="H43" s="1384" t="e">
        <f ca="1">-'Income Statement'!H14/'Income Statement'!H11</f>
        <v>#NAME?</v>
      </c>
    </row>
    <row r="44" spans="1:10" x14ac:dyDescent="0.2">
      <c r="B44" s="733" t="s">
        <v>1242</v>
      </c>
      <c r="C44" s="2480" t="s">
        <v>1167</v>
      </c>
      <c r="D44" s="2484" t="e">
        <f ca="1">'Income Statement'!D15/'Income Statement'!D11</f>
        <v>#NAME?</v>
      </c>
      <c r="E44" s="2484" t="e">
        <f ca="1">'Income Statement'!E15/'Income Statement'!E11</f>
        <v>#NAME?</v>
      </c>
      <c r="F44" s="2484" t="e">
        <f ca="1">'Income Statement'!F15/'Income Statement'!F11</f>
        <v>#NAME?</v>
      </c>
      <c r="G44" s="2484" t="e">
        <f ca="1">'Income Statement'!G15/'Income Statement'!G11</f>
        <v>#NAME?</v>
      </c>
      <c r="H44" s="1383" t="e">
        <f ca="1">'Income Statement'!H15/'Income Statement'!H11</f>
        <v>#NAME?</v>
      </c>
    </row>
    <row r="45" spans="1:10" x14ac:dyDescent="0.2">
      <c r="B45" s="733" t="s">
        <v>1243</v>
      </c>
      <c r="C45" s="2480" t="s">
        <v>1167</v>
      </c>
      <c r="D45" s="2485" t="e">
        <f ca="1">'Income Statement'!D33/'Income Statement'!D11</f>
        <v>#NAME?</v>
      </c>
      <c r="E45" s="2485" t="e">
        <f ca="1">'Income Statement'!E33/'Income Statement'!E11</f>
        <v>#NAME?</v>
      </c>
      <c r="F45" s="2485" t="e">
        <f ca="1">'Income Statement'!F33/'Income Statement'!F11</f>
        <v>#NAME?</v>
      </c>
      <c r="G45" s="2485" t="e">
        <f ca="1">'Income Statement'!G33/'Income Statement'!G11</f>
        <v>#NAME?</v>
      </c>
      <c r="H45" s="1384" t="e">
        <f ca="1">'Income Statement'!H33/'Income Statement'!H11</f>
        <v>#NAME?</v>
      </c>
    </row>
    <row r="46" spans="1:10" x14ac:dyDescent="0.2">
      <c r="B46" s="733" t="s">
        <v>1244</v>
      </c>
      <c r="C46" s="2481" t="s">
        <v>1167</v>
      </c>
      <c r="D46" s="2485" t="e">
        <f ca="1">-SUM('Income Statement'!D17:D20)/'Income Statement'!D11</f>
        <v>#NAME?</v>
      </c>
      <c r="E46" s="2485" t="e">
        <f ca="1">-SUM('Income Statement'!E17:E20)/'Income Statement'!E11</f>
        <v>#NAME?</v>
      </c>
      <c r="F46" s="2485" t="e">
        <f ca="1">-SUM('Income Statement'!F17:F20)/'Income Statement'!F11</f>
        <v>#NAME?</v>
      </c>
      <c r="G46" s="2485" t="e">
        <f ca="1">-SUM('Income Statement'!G17:G20)/'Income Statement'!G11</f>
        <v>#NAME?</v>
      </c>
      <c r="H46" s="1384" t="e">
        <f ca="1">-SUM('Income Statement'!H17:H20)/'Income Statement'!H11</f>
        <v>#NAME?</v>
      </c>
    </row>
    <row r="47" spans="1:10" x14ac:dyDescent="0.2">
      <c r="B47" s="734" t="s">
        <v>1245</v>
      </c>
      <c r="C47" s="2482" t="s">
        <v>1167</v>
      </c>
      <c r="D47" s="2486" t="e">
        <f ca="1">-'Income Statement'!D18/'Income Statement'!D11</f>
        <v>#NAME?</v>
      </c>
      <c r="E47" s="2486" t="e">
        <f ca="1">-'Income Statement'!E18/'Income Statement'!E11</f>
        <v>#NAME?</v>
      </c>
      <c r="F47" s="2486" t="e">
        <f ca="1">-'Income Statement'!F18/'Income Statement'!F11</f>
        <v>#NAME?</v>
      </c>
      <c r="G47" s="2486" t="e">
        <f ca="1">-'Income Statement'!G18/'Income Statement'!G11</f>
        <v>#NAME?</v>
      </c>
      <c r="H47" s="1385" t="e">
        <f ca="1">-'Income Statement'!H18/'Income Statement'!H11</f>
        <v>#NAME?</v>
      </c>
    </row>
    <row r="48" spans="1:10" x14ac:dyDescent="0.2">
      <c r="B48" s="2"/>
    </row>
    <row r="49" spans="2:2" x14ac:dyDescent="0.2">
      <c r="B49" s="2"/>
    </row>
    <row r="50" spans="2:2" x14ac:dyDescent="0.2">
      <c r="B50" s="2"/>
    </row>
    <row r="51" spans="2:2" x14ac:dyDescent="0.2">
      <c r="B51" s="2"/>
    </row>
    <row r="52" spans="2:2" x14ac:dyDescent="0.2">
      <c r="B52" s="2"/>
    </row>
    <row r="53" spans="2:2" x14ac:dyDescent="0.2">
      <c r="B53" s="2"/>
    </row>
    <row r="54" spans="2:2" x14ac:dyDescent="0.2">
      <c r="B54" s="2"/>
    </row>
  </sheetData>
  <mergeCells count="5">
    <mergeCell ref="B9:H9"/>
    <mergeCell ref="B36:H36"/>
    <mergeCell ref="B2:H2"/>
    <mergeCell ref="B3:G3"/>
    <mergeCell ref="B4:G4"/>
  </mergeCells>
  <phoneticPr fontId="59" type="noConversion"/>
  <hyperlinks>
    <hyperlink ref="A1" location="INDEX!A1" display="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N219"/>
  <sheetViews>
    <sheetView showGridLines="0" topLeftCell="C40" workbookViewId="0">
      <selection activeCell="F46" sqref="F46"/>
    </sheetView>
  </sheetViews>
  <sheetFormatPr baseColWidth="10" defaultColWidth="8.83203125" defaultRowHeight="16" x14ac:dyDescent="0.2"/>
  <cols>
    <col min="1" max="1" width="7.33203125" style="745" customWidth="1"/>
    <col min="2" max="2" width="42.5" style="745" bestFit="1" customWidth="1"/>
    <col min="3" max="3" width="11.1640625" style="745" customWidth="1"/>
    <col min="4" max="4" width="22.1640625" style="833" customWidth="1"/>
    <col min="5" max="5" width="9" style="745" bestFit="1" customWidth="1"/>
    <col min="6" max="6" width="18.33203125" style="745" customWidth="1"/>
    <col min="7" max="7" width="25.1640625" style="745" customWidth="1"/>
    <col min="8" max="8" width="12.5" style="833" bestFit="1" customWidth="1"/>
    <col min="9" max="9" width="13.1640625" style="745" customWidth="1"/>
    <col min="10" max="10" width="12.83203125" style="745" customWidth="1"/>
    <col min="11" max="11" width="17.1640625" style="745" customWidth="1"/>
    <col min="12" max="12" width="31.83203125" style="745" bestFit="1" customWidth="1"/>
    <col min="13" max="16384" width="8.83203125" style="745"/>
  </cols>
  <sheetData>
    <row r="1" spans="1:10" x14ac:dyDescent="0.2">
      <c r="A1" s="1771" t="s">
        <v>38</v>
      </c>
    </row>
    <row r="2" spans="1:10" x14ac:dyDescent="0.2">
      <c r="B2" s="2000" t="s">
        <v>78</v>
      </c>
      <c r="C2" s="2001" t="s">
        <v>79</v>
      </c>
      <c r="D2" s="2002" t="s">
        <v>80</v>
      </c>
    </row>
    <row r="3" spans="1:10" ht="30" customHeight="1" x14ac:dyDescent="0.2">
      <c r="B3" s="886" t="s">
        <v>81</v>
      </c>
      <c r="C3" s="887">
        <v>1870</v>
      </c>
      <c r="D3" s="888" t="s">
        <v>82</v>
      </c>
    </row>
    <row r="4" spans="1:10" x14ac:dyDescent="0.2">
      <c r="B4" s="2066" t="s">
        <v>83</v>
      </c>
      <c r="C4" s="2067">
        <v>13.1</v>
      </c>
      <c r="D4" s="2068" t="s">
        <v>84</v>
      </c>
    </row>
    <row r="5" spans="1:10" x14ac:dyDescent="0.2">
      <c r="B5" s="2066" t="s">
        <v>85</v>
      </c>
      <c r="C5" s="2067">
        <v>0.49</v>
      </c>
      <c r="D5" s="2068" t="s">
        <v>86</v>
      </c>
    </row>
    <row r="6" spans="1:10" x14ac:dyDescent="0.2">
      <c r="B6" s="2066" t="s">
        <v>87</v>
      </c>
      <c r="C6" s="2067">
        <v>14.49</v>
      </c>
      <c r="D6" s="2068" t="s">
        <v>88</v>
      </c>
    </row>
    <row r="7" spans="1:10" x14ac:dyDescent="0.2">
      <c r="B7" s="2066" t="s">
        <v>89</v>
      </c>
      <c r="C7" s="2067">
        <v>395</v>
      </c>
      <c r="D7" s="2068" t="s">
        <v>90</v>
      </c>
    </row>
    <row r="8" spans="1:10" ht="31.5" customHeight="1" x14ac:dyDescent="0.2">
      <c r="B8" s="2066" t="s">
        <v>91</v>
      </c>
      <c r="C8" s="2067">
        <v>18</v>
      </c>
      <c r="D8" s="2068" t="s">
        <v>92</v>
      </c>
    </row>
    <row r="9" spans="1:10" ht="34.5" customHeight="1" x14ac:dyDescent="0.2">
      <c r="B9" s="2066" t="s">
        <v>93</v>
      </c>
      <c r="C9" s="2067">
        <v>7490</v>
      </c>
      <c r="D9" s="2068" t="s">
        <v>94</v>
      </c>
    </row>
    <row r="10" spans="1:10" x14ac:dyDescent="0.2">
      <c r="B10" s="886" t="s">
        <v>95</v>
      </c>
      <c r="C10" s="887">
        <v>18.059999999999999</v>
      </c>
      <c r="D10" s="888" t="s">
        <v>96</v>
      </c>
    </row>
    <row r="11" spans="1:10" ht="33" customHeight="1" x14ac:dyDescent="0.2">
      <c r="B11" s="2066" t="s">
        <v>97</v>
      </c>
      <c r="C11" s="2067">
        <v>38</v>
      </c>
      <c r="D11" s="2068" t="s">
        <v>98</v>
      </c>
    </row>
    <row r="12" spans="1:10" ht="31.5" customHeight="1" x14ac:dyDescent="0.2">
      <c r="B12" s="2075" t="s">
        <v>99</v>
      </c>
      <c r="C12" s="2076">
        <v>150</v>
      </c>
      <c r="D12" s="2077" t="s">
        <v>100</v>
      </c>
    </row>
    <row r="14" spans="1:10" s="1839" customFormat="1" ht="3" customHeight="1" x14ac:dyDescent="0.2"/>
    <row r="15" spans="1:10" x14ac:dyDescent="0.2">
      <c r="A15" s="745" t="s">
        <v>9</v>
      </c>
    </row>
    <row r="16" spans="1:10" ht="18" thickTop="1" thickBot="1" x14ac:dyDescent="0.25">
      <c r="B16" s="2844" t="s">
        <v>71</v>
      </c>
      <c r="C16" s="2845"/>
      <c r="D16" s="2845"/>
      <c r="E16" s="2846"/>
      <c r="G16" s="891" t="s">
        <v>101</v>
      </c>
      <c r="H16" s="1535" t="e">
        <f ca="1">ROUNDUP('Scrap + Defect'!D15,0)</f>
        <v>#NAME?</v>
      </c>
      <c r="J16" s="811"/>
    </row>
    <row r="17" spans="2:12" ht="30.75" customHeight="1" thickTop="1" thickBot="1" x14ac:dyDescent="0.25">
      <c r="B17" s="2353" t="s">
        <v>102</v>
      </c>
      <c r="C17" s="2354" t="s">
        <v>103</v>
      </c>
      <c r="D17" s="2355" t="s">
        <v>104</v>
      </c>
      <c r="E17" s="2356" t="s">
        <v>11</v>
      </c>
      <c r="G17" s="892" t="s">
        <v>105</v>
      </c>
      <c r="H17" s="1533" t="e">
        <f ca="1">1/(H16/('General Assumptions'!C6*'General Assumptions'!C7*'General Assumptions'!C10))</f>
        <v>#NAME?</v>
      </c>
      <c r="I17" s="1358"/>
      <c r="J17" s="791"/>
      <c r="K17" s="791"/>
      <c r="L17" s="894"/>
    </row>
    <row r="18" spans="2:12" x14ac:dyDescent="0.2">
      <c r="B18" s="2357" t="s">
        <v>106</v>
      </c>
      <c r="C18" s="2378">
        <v>3</v>
      </c>
      <c r="D18" s="2379" t="e">
        <f t="shared" ref="D18:D34" ca="1" si="0">ROUNDUP(C18/H$17,0)</f>
        <v>#NAME?</v>
      </c>
      <c r="E18" s="2380" t="e">
        <f t="shared" ref="E18:E34" ca="1" si="1">(C18/D18)/$H$18</f>
        <v>#NAME?</v>
      </c>
      <c r="G18" s="899" t="s">
        <v>107</v>
      </c>
      <c r="H18" s="1534" t="e">
        <f ca="1">C27/D27</f>
        <v>#NAME?</v>
      </c>
      <c r="J18" s="791"/>
      <c r="K18" s="901"/>
      <c r="L18" s="894"/>
    </row>
    <row r="19" spans="2:12" ht="17" thickBot="1" x14ac:dyDescent="0.25">
      <c r="B19" s="2358" t="s">
        <v>108</v>
      </c>
      <c r="C19" s="2381">
        <v>3</v>
      </c>
      <c r="D19" s="2382" t="e">
        <f t="shared" ca="1" si="0"/>
        <v>#NAME?</v>
      </c>
      <c r="E19" s="2383" t="e">
        <f t="shared" ca="1" si="1"/>
        <v>#NAME?</v>
      </c>
      <c r="G19" s="903" t="s">
        <v>109</v>
      </c>
      <c r="H19" s="1536" t="e">
        <f ca="1">ROUNDDOWN('General Assumptions'!C$10/H18*'General Assumptions'!C$7*'General Assumptions'!C$9*'General Assumptions'!C$8,0)</f>
        <v>#NAME?</v>
      </c>
      <c r="J19" s="791"/>
      <c r="K19" s="901"/>
      <c r="L19" s="894"/>
    </row>
    <row r="20" spans="2:12" ht="18" thickTop="1" thickBot="1" x14ac:dyDescent="0.25">
      <c r="B20" s="2359" t="s">
        <v>110</v>
      </c>
      <c r="C20" s="2381">
        <v>2</v>
      </c>
      <c r="D20" s="2382" t="e">
        <f t="shared" ca="1" si="0"/>
        <v>#NAME?</v>
      </c>
      <c r="E20" s="2383" t="e">
        <f t="shared" ca="1" si="1"/>
        <v>#NAME?</v>
      </c>
      <c r="J20" s="791"/>
      <c r="K20" s="901"/>
      <c r="L20" s="894"/>
    </row>
    <row r="21" spans="2:12" ht="18" thickTop="1" thickBot="1" x14ac:dyDescent="0.25">
      <c r="B21" s="2358" t="s">
        <v>111</v>
      </c>
      <c r="C21" s="2381">
        <v>1</v>
      </c>
      <c r="D21" s="2382" t="e">
        <f t="shared" ca="1" si="0"/>
        <v>#NAME?</v>
      </c>
      <c r="E21" s="2383" t="e">
        <f t="shared" ca="1" si="1"/>
        <v>#NAME?</v>
      </c>
      <c r="G21" s="2013" t="s">
        <v>78</v>
      </c>
      <c r="H21" s="2014" t="s">
        <v>112</v>
      </c>
      <c r="I21" s="2015" t="s">
        <v>79</v>
      </c>
      <c r="J21" s="791"/>
      <c r="K21" s="901"/>
      <c r="L21" s="894"/>
    </row>
    <row r="22" spans="2:12" ht="17" thickTop="1" x14ac:dyDescent="0.2">
      <c r="B22" s="2358" t="s">
        <v>113</v>
      </c>
      <c r="C22" s="2381">
        <v>1.8</v>
      </c>
      <c r="D22" s="2384" t="e">
        <f t="shared" ca="1" si="0"/>
        <v>#NAME?</v>
      </c>
      <c r="E22" s="2383" t="e">
        <f t="shared" ca="1" si="1"/>
        <v>#NAME?</v>
      </c>
      <c r="G22" s="899" t="s">
        <v>81</v>
      </c>
      <c r="H22" s="906" t="e">
        <f ca="1">D27+D28+D30+D32</f>
        <v>#NAME?</v>
      </c>
      <c r="I22" s="907" t="e">
        <f ca="1">$C$3*H22</f>
        <v>#NAME?</v>
      </c>
      <c r="J22" s="791"/>
      <c r="K22" s="901"/>
      <c r="L22" s="894"/>
    </row>
    <row r="23" spans="2:12" x14ac:dyDescent="0.2">
      <c r="B23" s="2358" t="s">
        <v>114</v>
      </c>
      <c r="C23" s="2381">
        <v>1.8</v>
      </c>
      <c r="D23" s="2384" t="e">
        <f t="shared" ca="1" si="0"/>
        <v>#NAME?</v>
      </c>
      <c r="E23" s="2383" t="e">
        <f t="shared" ca="1" si="1"/>
        <v>#NAME?</v>
      </c>
      <c r="G23" s="899" t="s">
        <v>83</v>
      </c>
      <c r="H23" s="906" t="e">
        <f ca="1">D22+D23+D24</f>
        <v>#NAME?</v>
      </c>
      <c r="I23" s="907" t="e">
        <f ca="1">$C$4*H23</f>
        <v>#NAME?</v>
      </c>
    </row>
    <row r="24" spans="2:12" x14ac:dyDescent="0.2">
      <c r="B24" s="2358" t="s">
        <v>115</v>
      </c>
      <c r="C24" s="2381">
        <v>1.7</v>
      </c>
      <c r="D24" s="2384" t="e">
        <f t="shared" ca="1" si="0"/>
        <v>#NAME?</v>
      </c>
      <c r="E24" s="2383" t="e">
        <f t="shared" ca="1" si="1"/>
        <v>#NAME?</v>
      </c>
      <c r="G24" s="899" t="s">
        <v>85</v>
      </c>
      <c r="H24" s="906">
        <f ca="1">COUNT(D22:D25)</f>
        <v>0</v>
      </c>
      <c r="I24" s="907">
        <f ca="1">$C$5*H24</f>
        <v>0</v>
      </c>
    </row>
    <row r="25" spans="2:12" x14ac:dyDescent="0.2">
      <c r="B25" s="2358" t="s">
        <v>116</v>
      </c>
      <c r="C25" s="2381">
        <v>1.7</v>
      </c>
      <c r="D25" s="2384" t="e">
        <f t="shared" ca="1" si="0"/>
        <v>#NAME?</v>
      </c>
      <c r="E25" s="2383" t="e">
        <f t="shared" ca="1" si="1"/>
        <v>#NAME?</v>
      </c>
      <c r="G25" s="899" t="s">
        <v>87</v>
      </c>
      <c r="H25" s="906" t="e">
        <f ca="1">COUNT(D22:D25)+D27+D28+D30+D32</f>
        <v>#NAME?</v>
      </c>
      <c r="I25" s="907" t="e">
        <f ca="1">$C$6*H25</f>
        <v>#NAME?</v>
      </c>
    </row>
    <row r="26" spans="2:12" x14ac:dyDescent="0.2">
      <c r="B26" s="2358" t="s">
        <v>117</v>
      </c>
      <c r="C26" s="2381">
        <v>0.5</v>
      </c>
      <c r="D26" s="2384" t="e">
        <f t="shared" ca="1" si="0"/>
        <v>#NAME?</v>
      </c>
      <c r="E26" s="2383" t="e">
        <f t="shared" ca="1" si="1"/>
        <v>#NAME?</v>
      </c>
      <c r="G26" s="899" t="s">
        <v>89</v>
      </c>
      <c r="H26" s="906">
        <f ca="1">COUNT(D22:D33)</f>
        <v>0</v>
      </c>
      <c r="I26" s="907">
        <f ca="1">$C$7*H26</f>
        <v>0</v>
      </c>
    </row>
    <row r="27" spans="2:12" x14ac:dyDescent="0.2">
      <c r="B27" s="2358" t="s">
        <v>118</v>
      </c>
      <c r="C27" s="2381">
        <v>6</v>
      </c>
      <c r="D27" s="2384" t="e">
        <f t="shared" ca="1" si="0"/>
        <v>#NAME?</v>
      </c>
      <c r="E27" s="2383" t="e">
        <f t="shared" ca="1" si="1"/>
        <v>#NAME?</v>
      </c>
      <c r="G27" s="899" t="s">
        <v>91</v>
      </c>
      <c r="H27" s="906" t="e">
        <f ca="1">D39*2</f>
        <v>#NAME?</v>
      </c>
      <c r="I27" s="907" t="e">
        <f ca="1">$C$8*H27</f>
        <v>#NAME?</v>
      </c>
    </row>
    <row r="28" spans="2:12" x14ac:dyDescent="0.2">
      <c r="B28" s="2358" t="s">
        <v>119</v>
      </c>
      <c r="C28" s="2381">
        <v>4</v>
      </c>
      <c r="D28" s="2384" t="e">
        <f t="shared" ca="1" si="0"/>
        <v>#NAME?</v>
      </c>
      <c r="E28" s="2383" t="e">
        <f t="shared" ca="1" si="1"/>
        <v>#NAME?</v>
      </c>
      <c r="G28" s="899" t="s">
        <v>93</v>
      </c>
      <c r="H28" s="906">
        <v>1</v>
      </c>
      <c r="I28" s="907">
        <f>$C$9*H28</f>
        <v>7490</v>
      </c>
    </row>
    <row r="29" spans="2:12" x14ac:dyDescent="0.2">
      <c r="B29" s="2358" t="s">
        <v>120</v>
      </c>
      <c r="C29" s="2381">
        <v>1</v>
      </c>
      <c r="D29" s="2384" t="e">
        <f t="shared" ca="1" si="0"/>
        <v>#NAME?</v>
      </c>
      <c r="E29" s="2383" t="e">
        <f t="shared" ca="1" si="1"/>
        <v>#NAME?</v>
      </c>
      <c r="G29" s="899" t="s">
        <v>95</v>
      </c>
      <c r="H29" s="906">
        <f ca="1">COUNT(D18:D34)</f>
        <v>0</v>
      </c>
      <c r="I29" s="907">
        <f ca="1">$C$10*H29</f>
        <v>0</v>
      </c>
    </row>
    <row r="30" spans="2:12" x14ac:dyDescent="0.2">
      <c r="B30" s="2358" t="s">
        <v>121</v>
      </c>
      <c r="C30" s="2381">
        <v>3</v>
      </c>
      <c r="D30" s="2384" t="e">
        <f t="shared" ca="1" si="0"/>
        <v>#NAME?</v>
      </c>
      <c r="E30" s="2383" t="e">
        <f t="shared" ca="1" si="1"/>
        <v>#NAME?</v>
      </c>
      <c r="G30" s="899" t="s">
        <v>97</v>
      </c>
      <c r="H30" s="906" t="e">
        <f ca="1">D40</f>
        <v>#NAME?</v>
      </c>
      <c r="I30" s="907" t="e">
        <f ca="1">H30*C11</f>
        <v>#NAME?</v>
      </c>
    </row>
    <row r="31" spans="2:12" x14ac:dyDescent="0.2">
      <c r="B31" s="2358" t="s">
        <v>122</v>
      </c>
      <c r="C31" s="2381">
        <v>1</v>
      </c>
      <c r="D31" s="2384" t="e">
        <f t="shared" ca="1" si="0"/>
        <v>#NAME?</v>
      </c>
      <c r="E31" s="2383" t="e">
        <f t="shared" ca="1" si="1"/>
        <v>#NAME?</v>
      </c>
      <c r="G31" s="908" t="s">
        <v>99</v>
      </c>
      <c r="H31" s="909" t="e">
        <f ca="1">D40</f>
        <v>#NAME?</v>
      </c>
      <c r="I31" s="910" t="e">
        <f ca="1">H31*C12</f>
        <v>#NAME?</v>
      </c>
    </row>
    <row r="32" spans="2:12" ht="17" thickBot="1" x14ac:dyDescent="0.25">
      <c r="B32" s="2358" t="s">
        <v>123</v>
      </c>
      <c r="C32" s="2381">
        <v>3</v>
      </c>
      <c r="D32" s="2384" t="e">
        <f t="shared" ca="1" si="0"/>
        <v>#NAME?</v>
      </c>
      <c r="E32" s="2383" t="e">
        <f t="shared" ca="1" si="1"/>
        <v>#NAME?</v>
      </c>
      <c r="G32" s="2004" t="s">
        <v>124</v>
      </c>
      <c r="H32" s="2005"/>
      <c r="I32" s="2006" t="e">
        <f ca="1">SUM(I22:I31)*0.05</f>
        <v>#NAME?</v>
      </c>
    </row>
    <row r="33" spans="2:9" ht="18" thickTop="1" thickBot="1" x14ac:dyDescent="0.25">
      <c r="B33" s="2358" t="s">
        <v>125</v>
      </c>
      <c r="C33" s="2385">
        <v>0.5</v>
      </c>
      <c r="D33" s="2384" t="e">
        <f t="shared" ca="1" si="0"/>
        <v>#NAME?</v>
      </c>
      <c r="E33" s="2383" t="e">
        <f t="shared" ca="1" si="1"/>
        <v>#NAME?</v>
      </c>
      <c r="G33" s="911"/>
      <c r="H33" s="2037" t="s">
        <v>126</v>
      </c>
      <c r="I33" s="913" t="e">
        <f ca="1">SUM(I22:I32)</f>
        <v>#NAME?</v>
      </c>
    </row>
    <row r="34" spans="2:9" ht="18" thickTop="1" thickBot="1" x14ac:dyDescent="0.25">
      <c r="B34" s="2360" t="s">
        <v>127</v>
      </c>
      <c r="C34" s="2386">
        <v>1</v>
      </c>
      <c r="D34" s="2387" t="e">
        <f t="shared" ca="1" si="0"/>
        <v>#NAME?</v>
      </c>
      <c r="E34" s="2388" t="e">
        <f t="shared" ca="1" si="1"/>
        <v>#NAME?</v>
      </c>
    </row>
    <row r="35" spans="2:9" ht="18" thickTop="1" thickBot="1" x14ac:dyDescent="0.25">
      <c r="B35" s="2361" t="s">
        <v>128</v>
      </c>
      <c r="C35" s="2362"/>
      <c r="D35" s="2397" t="e">
        <f ca="1">SUM(D18:D34)</f>
        <v>#NAME?</v>
      </c>
      <c r="E35" s="2398" t="e">
        <f ca="1">AVERAGE(E18:E34)</f>
        <v>#NAME?</v>
      </c>
    </row>
    <row r="36" spans="2:9" ht="17" thickBot="1" x14ac:dyDescent="0.25">
      <c r="B36" s="791"/>
      <c r="C36" s="791"/>
      <c r="D36" s="915"/>
      <c r="E36" s="753"/>
    </row>
    <row r="37" spans="2:9" ht="18" thickTop="1" thickBot="1" x14ac:dyDescent="0.25">
      <c r="B37" s="916" t="s">
        <v>129</v>
      </c>
      <c r="C37" s="2389">
        <v>1.5</v>
      </c>
      <c r="D37" s="2390" t="e">
        <f ca="1">ROUNDUP(C37/$H$17,0)</f>
        <v>#NAME?</v>
      </c>
      <c r="E37" s="2391" t="e">
        <f ca="1">(C37/D37)/$H$37</f>
        <v>#NAME?</v>
      </c>
      <c r="G37" s="2012" t="s">
        <v>130</v>
      </c>
      <c r="H37" s="1970" t="e">
        <f ca="1">C37/D37</f>
        <v>#NAME?</v>
      </c>
    </row>
    <row r="38" spans="2:9" ht="17" thickTop="1" x14ac:dyDescent="0.2">
      <c r="B38" s="920" t="s">
        <v>131</v>
      </c>
      <c r="C38" s="2392">
        <v>0.1</v>
      </c>
      <c r="D38" s="2393" t="e">
        <f ca="1">ROUNDUP(C38/H$17,0)</f>
        <v>#NAME?</v>
      </c>
      <c r="E38" s="1768" t="e">
        <f ca="1">(C38/D38)/$H$37</f>
        <v>#NAME?</v>
      </c>
      <c r="G38" s="891" t="s">
        <v>132</v>
      </c>
      <c r="H38" s="1970">
        <f>SUM(C38:C41)</f>
        <v>2</v>
      </c>
    </row>
    <row r="39" spans="2:9" x14ac:dyDescent="0.2">
      <c r="B39" s="920" t="s">
        <v>133</v>
      </c>
      <c r="C39" s="2392">
        <v>0.4</v>
      </c>
      <c r="D39" s="2393" t="e">
        <f ca="1">ROUNDUP(C39/H$17,0)</f>
        <v>#NAME?</v>
      </c>
      <c r="E39" s="1768" t="e">
        <f ca="1">(C39/D39)/$H$37</f>
        <v>#NAME?</v>
      </c>
      <c r="G39" s="899"/>
      <c r="H39" s="1971"/>
    </row>
    <row r="40" spans="2:9" x14ac:dyDescent="0.2">
      <c r="B40" s="920" t="s">
        <v>134</v>
      </c>
      <c r="C40" s="2392">
        <v>1.3</v>
      </c>
      <c r="D40" s="2393" t="e">
        <f ca="1">ROUNDUP(C40/H$17,0)</f>
        <v>#NAME?</v>
      </c>
      <c r="E40" s="1768" t="e">
        <f t="shared" ref="E40:E41" ca="1" si="2">(C40/D40)/$H$37</f>
        <v>#NAME?</v>
      </c>
      <c r="G40" s="2009" t="s">
        <v>135</v>
      </c>
      <c r="H40" s="1971" t="e">
        <f ca="1">ROUNDUP('BASES MODEL (Base Case)'!C37*('Avg.Weighted Manufacturer Price'!D5+'Avg.Weighted Manufacturer Price'!D6),0)</f>
        <v>#NAME?</v>
      </c>
    </row>
    <row r="41" spans="2:9" ht="17" thickBot="1" x14ac:dyDescent="0.25">
      <c r="B41" s="2004" t="s">
        <v>136</v>
      </c>
      <c r="C41" s="2394">
        <v>0.2</v>
      </c>
      <c r="D41" s="2395" t="e">
        <f ca="1">ROUNDUP(C41/H$17,0)</f>
        <v>#NAME?</v>
      </c>
      <c r="E41" s="2396" t="e">
        <f t="shared" ca="1" si="2"/>
        <v>#NAME?</v>
      </c>
      <c r="G41" s="2009" t="s">
        <v>137</v>
      </c>
      <c r="H41" s="1971" t="e">
        <f ca="1">ROUNDUP(H40/2,0)</f>
        <v>#NAME?</v>
      </c>
    </row>
    <row r="42" spans="2:9" ht="18" thickTop="1" thickBot="1" x14ac:dyDescent="0.25">
      <c r="B42" s="2363" t="s">
        <v>128</v>
      </c>
      <c r="C42" s="2362"/>
      <c r="D42" s="2397" t="e">
        <f ca="1">SUM(D37:D41)</f>
        <v>#NAME?</v>
      </c>
      <c r="E42" s="2398" t="e">
        <f ca="1">AVERAGE(E37:E41)</f>
        <v>#NAME?</v>
      </c>
      <c r="G42" s="2009" t="s">
        <v>138</v>
      </c>
      <c r="H42" s="1971" t="e">
        <f ca="1">ROUNDUP(H41/'General Assumptions'!C$6,0)</f>
        <v>#NAME?</v>
      </c>
    </row>
    <row r="43" spans="2:9" ht="17" thickBot="1" x14ac:dyDescent="0.25">
      <c r="B43" s="791"/>
      <c r="C43" s="791"/>
      <c r="D43" s="915"/>
      <c r="E43" s="753"/>
      <c r="G43" s="1689" t="s">
        <v>139</v>
      </c>
      <c r="H43" s="1973" t="e">
        <f ca="1">(H42*H38)/'General Assumptions'!C$10</f>
        <v>#NAME?</v>
      </c>
    </row>
    <row r="44" spans="2:9" ht="17" thickTop="1" x14ac:dyDescent="0.2">
      <c r="B44" s="2010" t="s">
        <v>140</v>
      </c>
      <c r="C44" s="925" t="e">
        <f ca="1">'BASES MODEL (Base Case)'!$C$37</f>
        <v>#NAME?</v>
      </c>
      <c r="D44" s="915"/>
      <c r="E44" s="753"/>
    </row>
    <row r="45" spans="2:9" x14ac:dyDescent="0.2">
      <c r="B45" s="899" t="s">
        <v>141</v>
      </c>
      <c r="C45" s="926" t="e">
        <f ca="1">C44*'General Assumptions'!C13</f>
        <v>#NAME?</v>
      </c>
      <c r="D45" s="915"/>
      <c r="E45" s="753"/>
    </row>
    <row r="46" spans="2:9" x14ac:dyDescent="0.2">
      <c r="B46" s="2011" t="s">
        <v>142</v>
      </c>
      <c r="C46" s="927" t="e">
        <f ca="1">C45/'General Assumptions'!$C$6</f>
        <v>#NAME?</v>
      </c>
      <c r="D46" s="915"/>
      <c r="E46" s="753"/>
    </row>
    <row r="47" spans="2:9" x14ac:dyDescent="0.2">
      <c r="B47" s="899" t="s">
        <v>143</v>
      </c>
      <c r="C47" s="926" t="e">
        <f ca="1">C46/'General Assumptions'!$C$7</f>
        <v>#NAME?</v>
      </c>
      <c r="D47" s="915"/>
      <c r="E47" s="753"/>
    </row>
    <row r="48" spans="2:9" x14ac:dyDescent="0.2">
      <c r="B48" s="899" t="s">
        <v>144</v>
      </c>
      <c r="C48" s="926" t="e">
        <f ca="1">C47/'General Assumptions'!$C$10</f>
        <v>#NAME?</v>
      </c>
      <c r="D48" s="915"/>
      <c r="E48" s="753"/>
    </row>
    <row r="49" spans="2:14" x14ac:dyDescent="0.2">
      <c r="B49" s="947" t="s">
        <v>145</v>
      </c>
      <c r="C49" s="928">
        <f>1/3</f>
        <v>0.33333333333333331</v>
      </c>
      <c r="D49" s="915"/>
      <c r="E49" s="753"/>
    </row>
    <row r="50" spans="2:14" x14ac:dyDescent="0.2">
      <c r="B50" s="899"/>
      <c r="C50" s="926"/>
      <c r="D50" s="915"/>
      <c r="E50" s="753"/>
    </row>
    <row r="51" spans="2:14" x14ac:dyDescent="0.2">
      <c r="B51" s="899" t="s">
        <v>146</v>
      </c>
      <c r="C51" s="926">
        <v>0</v>
      </c>
      <c r="D51" s="915"/>
      <c r="E51" s="753"/>
    </row>
    <row r="52" spans="2:14" x14ac:dyDescent="0.2">
      <c r="B52" s="899" t="s">
        <v>147</v>
      </c>
      <c r="C52" s="929" t="e">
        <f ca="1">(C48^2)/((2*C49)*(C49-C48))</f>
        <v>#NAME?</v>
      </c>
      <c r="D52" s="915"/>
      <c r="E52" s="753"/>
    </row>
    <row r="53" spans="2:14" x14ac:dyDescent="0.2">
      <c r="B53" s="1689" t="s">
        <v>148</v>
      </c>
      <c r="C53" s="930" t="e">
        <f ca="1">C52/C48</f>
        <v>#NAME?</v>
      </c>
      <c r="D53" s="915"/>
      <c r="E53" s="753"/>
    </row>
    <row r="54" spans="2:14" x14ac:dyDescent="0.2">
      <c r="B54" s="791"/>
      <c r="C54" s="791"/>
      <c r="D54" s="915"/>
      <c r="E54" s="791"/>
    </row>
    <row r="55" spans="2:14" s="1839" customFormat="1" ht="4.5" customHeight="1" x14ac:dyDescent="0.2"/>
    <row r="56" spans="2:14" x14ac:dyDescent="0.2">
      <c r="B56" s="791"/>
      <c r="C56" s="791"/>
      <c r="D56" s="915"/>
      <c r="E56" s="901"/>
    </row>
    <row r="57" spans="2:14" x14ac:dyDescent="0.2">
      <c r="B57" s="2841" t="s">
        <v>72</v>
      </c>
      <c r="C57" s="2842"/>
      <c r="D57" s="2842"/>
      <c r="E57" s="2843"/>
      <c r="G57" s="891" t="s">
        <v>149</v>
      </c>
      <c r="H57" s="1535" t="e">
        <f ca="1">ROUNDUP('Scrap + Defect'!D33,0)</f>
        <v>#NAME?</v>
      </c>
      <c r="J57" s="931"/>
      <c r="K57" s="932"/>
      <c r="L57" s="932"/>
      <c r="M57" s="932"/>
      <c r="N57" s="932"/>
    </row>
    <row r="58" spans="2:14" ht="32" x14ac:dyDescent="0.2">
      <c r="B58" s="933" t="s">
        <v>102</v>
      </c>
      <c r="C58" s="934" t="s">
        <v>103</v>
      </c>
      <c r="D58" s="935" t="s">
        <v>150</v>
      </c>
      <c r="E58" s="936" t="s">
        <v>11</v>
      </c>
      <c r="G58" s="899" t="s">
        <v>105</v>
      </c>
      <c r="H58" s="893" t="e">
        <f ca="1">1/(H57/('General Assumptions'!C6*'General Assumptions'!C7*'General Assumptions'!C10))</f>
        <v>#NAME?</v>
      </c>
      <c r="J58" s="931"/>
      <c r="K58" s="931"/>
      <c r="L58" s="931"/>
      <c r="M58" s="931"/>
      <c r="N58" s="931"/>
    </row>
    <row r="59" spans="2:14" x14ac:dyDescent="0.2">
      <c r="B59" s="895" t="s">
        <v>106</v>
      </c>
      <c r="C59" s="896">
        <v>3</v>
      </c>
      <c r="D59" s="897" t="e">
        <f t="shared" ref="D59:D75" ca="1" si="3">ROUNDUP(C59/H$58,0)</f>
        <v>#NAME?</v>
      </c>
      <c r="E59" s="898" t="e">
        <f ca="1">(C59/D59)/$H$59</f>
        <v>#NAME?</v>
      </c>
      <c r="G59" s="899" t="s">
        <v>151</v>
      </c>
      <c r="H59" s="900" t="e">
        <f ca="1">C59/D59</f>
        <v>#NAME?</v>
      </c>
      <c r="J59" s="931"/>
      <c r="K59" s="931"/>
      <c r="L59" s="931"/>
      <c r="M59" s="931"/>
      <c r="N59" s="931"/>
    </row>
    <row r="60" spans="2:14" x14ac:dyDescent="0.2">
      <c r="B60" s="902" t="s">
        <v>108</v>
      </c>
      <c r="C60" s="896">
        <v>3</v>
      </c>
      <c r="D60" s="897" t="e">
        <f t="shared" ca="1" si="3"/>
        <v>#NAME?</v>
      </c>
      <c r="E60" s="898" t="e">
        <f t="shared" ref="E60:E75" ca="1" si="4">(C60/D60)/$H$59</f>
        <v>#NAME?</v>
      </c>
      <c r="G60" s="903" t="s">
        <v>109</v>
      </c>
      <c r="H60" s="1536" t="e">
        <f ca="1">ROUNDDOWN('General Assumptions'!C$10/H59*'General Assumptions'!C$7*'General Assumptions'!C$9*'General Assumptions'!C$8,0)</f>
        <v>#NAME?</v>
      </c>
      <c r="J60" s="931"/>
      <c r="K60" s="931"/>
      <c r="L60" s="931"/>
      <c r="M60" s="931"/>
      <c r="N60" s="931"/>
    </row>
    <row r="61" spans="2:14" x14ac:dyDescent="0.2">
      <c r="B61" s="895" t="s">
        <v>110</v>
      </c>
      <c r="C61" s="896">
        <v>2</v>
      </c>
      <c r="D61" s="897" t="e">
        <f t="shared" ca="1" si="3"/>
        <v>#NAME?</v>
      </c>
      <c r="E61" s="898" t="e">
        <f t="shared" ca="1" si="4"/>
        <v>#NAME?</v>
      </c>
      <c r="J61" s="931"/>
      <c r="K61" s="931"/>
      <c r="L61" s="931"/>
      <c r="M61" s="931"/>
      <c r="N61" s="931"/>
    </row>
    <row r="62" spans="2:14" x14ac:dyDescent="0.2">
      <c r="B62" s="902" t="s">
        <v>111</v>
      </c>
      <c r="C62" s="896">
        <v>1</v>
      </c>
      <c r="D62" s="897" t="e">
        <f t="shared" ca="1" si="3"/>
        <v>#NAME?</v>
      </c>
      <c r="E62" s="898" t="e">
        <f t="shared" ca="1" si="4"/>
        <v>#NAME?</v>
      </c>
      <c r="G62" s="1250" t="s">
        <v>78</v>
      </c>
      <c r="H62" s="904" t="s">
        <v>112</v>
      </c>
      <c r="I62" s="1251" t="s">
        <v>79</v>
      </c>
      <c r="J62" s="1251" t="s">
        <v>152</v>
      </c>
      <c r="K62" s="1252" t="s">
        <v>153</v>
      </c>
    </row>
    <row r="63" spans="2:14" x14ac:dyDescent="0.2">
      <c r="B63" s="902" t="s">
        <v>113</v>
      </c>
      <c r="C63" s="896">
        <v>1.8</v>
      </c>
      <c r="D63" s="937" t="e">
        <f t="shared" ca="1" si="3"/>
        <v>#NAME?</v>
      </c>
      <c r="E63" s="898" t="e">
        <f t="shared" ca="1" si="4"/>
        <v>#NAME?</v>
      </c>
      <c r="G63" s="899" t="s">
        <v>81</v>
      </c>
      <c r="H63" s="906" t="e">
        <f ca="1">D68+D69+D71+D73</f>
        <v>#NAME?</v>
      </c>
      <c r="I63" s="938" t="e">
        <f ca="1">$C$3*H63</f>
        <v>#NAME?</v>
      </c>
      <c r="J63" s="906" t="e">
        <f t="shared" ref="J63" ca="1" si="5">H63-H22</f>
        <v>#NAME?</v>
      </c>
      <c r="K63" s="907" t="e">
        <f t="shared" ref="K63:K70" ca="1" si="6">J63*$C3</f>
        <v>#NAME?</v>
      </c>
    </row>
    <row r="64" spans="2:14" x14ac:dyDescent="0.2">
      <c r="B64" s="902" t="s">
        <v>114</v>
      </c>
      <c r="C64" s="896">
        <v>1.8</v>
      </c>
      <c r="D64" s="937" t="e">
        <f t="shared" ca="1" si="3"/>
        <v>#NAME?</v>
      </c>
      <c r="E64" s="898" t="e">
        <f t="shared" ca="1" si="4"/>
        <v>#NAME?</v>
      </c>
      <c r="G64" s="899" t="s">
        <v>83</v>
      </c>
      <c r="H64" s="906" t="e">
        <f ca="1">D63+D64+D65</f>
        <v>#NAME?</v>
      </c>
      <c r="I64" s="938" t="e">
        <f ca="1">$C$4*H64</f>
        <v>#NAME?</v>
      </c>
      <c r="J64" s="906" t="e">
        <f t="shared" ref="J64:J72" ca="1" si="7">H64-H23</f>
        <v>#NAME?</v>
      </c>
      <c r="K64" s="907" t="e">
        <f t="shared" ca="1" si="6"/>
        <v>#NAME?</v>
      </c>
    </row>
    <row r="65" spans="2:11" x14ac:dyDescent="0.2">
      <c r="B65" s="902" t="s">
        <v>115</v>
      </c>
      <c r="C65" s="896">
        <v>1.7</v>
      </c>
      <c r="D65" s="937" t="e">
        <f t="shared" ca="1" si="3"/>
        <v>#NAME?</v>
      </c>
      <c r="E65" s="898" t="e">
        <f t="shared" ca="1" si="4"/>
        <v>#NAME?</v>
      </c>
      <c r="G65" s="899" t="s">
        <v>85</v>
      </c>
      <c r="H65" s="906">
        <f ca="1">COUNT(D63:D66)</f>
        <v>0</v>
      </c>
      <c r="I65" s="938">
        <f ca="1">$C$5*H65</f>
        <v>0</v>
      </c>
      <c r="J65" s="906">
        <f t="shared" ca="1" si="7"/>
        <v>0</v>
      </c>
      <c r="K65" s="907">
        <f t="shared" ca="1" si="6"/>
        <v>0</v>
      </c>
    </row>
    <row r="66" spans="2:11" x14ac:dyDescent="0.2">
      <c r="B66" s="902" t="s">
        <v>116</v>
      </c>
      <c r="C66" s="896">
        <v>1.7</v>
      </c>
      <c r="D66" s="937" t="e">
        <f t="shared" ca="1" si="3"/>
        <v>#NAME?</v>
      </c>
      <c r="E66" s="898" t="e">
        <f t="shared" ca="1" si="4"/>
        <v>#NAME?</v>
      </c>
      <c r="G66" s="899" t="s">
        <v>87</v>
      </c>
      <c r="H66" s="906" t="e">
        <f ca="1">COUNT(D63:D66)+D68+D69+D71+D73</f>
        <v>#NAME?</v>
      </c>
      <c r="I66" s="938" t="e">
        <f ca="1">$C$6*H66</f>
        <v>#NAME?</v>
      </c>
      <c r="J66" s="906" t="e">
        <f t="shared" ca="1" si="7"/>
        <v>#NAME?</v>
      </c>
      <c r="K66" s="907" t="e">
        <f t="shared" ca="1" si="6"/>
        <v>#NAME?</v>
      </c>
    </row>
    <row r="67" spans="2:11" x14ac:dyDescent="0.2">
      <c r="B67" s="902" t="s">
        <v>117</v>
      </c>
      <c r="C67" s="896">
        <v>1</v>
      </c>
      <c r="D67" s="937" t="e">
        <f t="shared" ca="1" si="3"/>
        <v>#NAME?</v>
      </c>
      <c r="E67" s="898" t="e">
        <f t="shared" ca="1" si="4"/>
        <v>#NAME?</v>
      </c>
      <c r="G67" s="899" t="s">
        <v>89</v>
      </c>
      <c r="H67" s="906">
        <f ca="1">COUNT(D63:D74)</f>
        <v>0</v>
      </c>
      <c r="I67" s="938">
        <f ca="1">$C$7*H67</f>
        <v>0</v>
      </c>
      <c r="J67" s="906">
        <f t="shared" ca="1" si="7"/>
        <v>0</v>
      </c>
      <c r="K67" s="907">
        <f t="shared" ca="1" si="6"/>
        <v>0</v>
      </c>
    </row>
    <row r="68" spans="2:11" x14ac:dyDescent="0.2">
      <c r="B68" s="902" t="s">
        <v>118</v>
      </c>
      <c r="C68" s="896">
        <v>6</v>
      </c>
      <c r="D68" s="937" t="e">
        <f t="shared" ca="1" si="3"/>
        <v>#NAME?</v>
      </c>
      <c r="E68" s="898" t="e">
        <f t="shared" ca="1" si="4"/>
        <v>#NAME?</v>
      </c>
      <c r="G68" s="899" t="s">
        <v>91</v>
      </c>
      <c r="H68" s="906" t="e">
        <f ca="1">D80*2</f>
        <v>#NAME?</v>
      </c>
      <c r="I68" s="938" t="e">
        <f ca="1">$C$8*H68</f>
        <v>#NAME?</v>
      </c>
      <c r="J68" s="906" t="e">
        <f t="shared" ca="1" si="7"/>
        <v>#NAME?</v>
      </c>
      <c r="K68" s="907" t="e">
        <f t="shared" ca="1" si="6"/>
        <v>#NAME?</v>
      </c>
    </row>
    <row r="69" spans="2:11" x14ac:dyDescent="0.2">
      <c r="B69" s="902" t="s">
        <v>119</v>
      </c>
      <c r="C69" s="896">
        <v>4</v>
      </c>
      <c r="D69" s="937" t="e">
        <f t="shared" ca="1" si="3"/>
        <v>#NAME?</v>
      </c>
      <c r="E69" s="898" t="e">
        <f t="shared" ca="1" si="4"/>
        <v>#NAME?</v>
      </c>
      <c r="G69" s="899" t="s">
        <v>93</v>
      </c>
      <c r="H69" s="906">
        <v>1</v>
      </c>
      <c r="I69" s="938">
        <f>$C$9*H69</f>
        <v>7490</v>
      </c>
      <c r="J69" s="906">
        <f t="shared" si="7"/>
        <v>0</v>
      </c>
      <c r="K69" s="907">
        <f t="shared" si="6"/>
        <v>0</v>
      </c>
    </row>
    <row r="70" spans="2:11" x14ac:dyDescent="0.2">
      <c r="B70" s="902" t="s">
        <v>120</v>
      </c>
      <c r="C70" s="896">
        <v>1</v>
      </c>
      <c r="D70" s="937" t="e">
        <f t="shared" ca="1" si="3"/>
        <v>#NAME?</v>
      </c>
      <c r="E70" s="898" t="e">
        <f t="shared" ca="1" si="4"/>
        <v>#NAME?</v>
      </c>
      <c r="G70" s="899" t="s">
        <v>95</v>
      </c>
      <c r="H70" s="906">
        <f ca="1">COUNT(D59:D75)</f>
        <v>0</v>
      </c>
      <c r="I70" s="938">
        <f ca="1">$C$10*H70</f>
        <v>0</v>
      </c>
      <c r="J70" s="906">
        <f t="shared" ca="1" si="7"/>
        <v>0</v>
      </c>
      <c r="K70" s="907">
        <f t="shared" ca="1" si="6"/>
        <v>0</v>
      </c>
    </row>
    <row r="71" spans="2:11" x14ac:dyDescent="0.2">
      <c r="B71" s="902" t="s">
        <v>121</v>
      </c>
      <c r="C71" s="896">
        <v>3</v>
      </c>
      <c r="D71" s="937" t="e">
        <f t="shared" ca="1" si="3"/>
        <v>#NAME?</v>
      </c>
      <c r="E71" s="898" t="e">
        <f t="shared" ca="1" si="4"/>
        <v>#NAME?</v>
      </c>
      <c r="G71" s="899" t="s">
        <v>97</v>
      </c>
      <c r="H71" s="906" t="e">
        <f ca="1">D81</f>
        <v>#NAME?</v>
      </c>
      <c r="I71" s="938" t="e">
        <f ca="1">C11*H71</f>
        <v>#NAME?</v>
      </c>
      <c r="J71" s="906" t="e">
        <f t="shared" ca="1" si="7"/>
        <v>#NAME?</v>
      </c>
      <c r="K71" s="907" t="e">
        <f ca="1">J71*C11</f>
        <v>#NAME?</v>
      </c>
    </row>
    <row r="72" spans="2:11" x14ac:dyDescent="0.2">
      <c r="B72" s="902" t="s">
        <v>122</v>
      </c>
      <c r="C72" s="896">
        <v>0.5</v>
      </c>
      <c r="D72" s="937" t="e">
        <f t="shared" ca="1" si="3"/>
        <v>#NAME?</v>
      </c>
      <c r="E72" s="898" t="e">
        <f t="shared" ca="1" si="4"/>
        <v>#NAME?</v>
      </c>
      <c r="G72" s="908" t="s">
        <v>99</v>
      </c>
      <c r="H72" s="909" t="e">
        <f ca="1">D82</f>
        <v>#NAME?</v>
      </c>
      <c r="I72" s="939" t="e">
        <f ca="1">C12*H72</f>
        <v>#NAME?</v>
      </c>
      <c r="J72" s="909" t="e">
        <f t="shared" ca="1" si="7"/>
        <v>#NAME?</v>
      </c>
      <c r="K72" s="910" t="e">
        <f ca="1">J72*C12</f>
        <v>#NAME?</v>
      </c>
    </row>
    <row r="73" spans="2:11" ht="17" thickBot="1" x14ac:dyDescent="0.25">
      <c r="B73" s="902" t="s">
        <v>123</v>
      </c>
      <c r="C73" s="896">
        <v>3</v>
      </c>
      <c r="D73" s="937" t="e">
        <f t="shared" ca="1" si="3"/>
        <v>#NAME?</v>
      </c>
      <c r="E73" s="898" t="e">
        <f t="shared" ca="1" si="4"/>
        <v>#NAME?</v>
      </c>
      <c r="G73" s="2367" t="s">
        <v>124</v>
      </c>
      <c r="H73" s="2368"/>
      <c r="I73" s="2369"/>
      <c r="J73" s="2369"/>
      <c r="K73" s="2370" t="e">
        <f ca="1">SUM(I63:I72)*0.05</f>
        <v>#NAME?</v>
      </c>
    </row>
    <row r="74" spans="2:11" ht="18" thickTop="1" thickBot="1" x14ac:dyDescent="0.25">
      <c r="B74" s="902" t="s">
        <v>125</v>
      </c>
      <c r="C74" s="778">
        <v>0.5</v>
      </c>
      <c r="D74" s="905" t="e">
        <f t="shared" ca="1" si="3"/>
        <v>#NAME?</v>
      </c>
      <c r="E74" s="898" t="e">
        <f t="shared" ca="1" si="4"/>
        <v>#NAME?</v>
      </c>
      <c r="G74" s="940"/>
      <c r="H74" s="941"/>
      <c r="I74" s="942"/>
      <c r="J74" s="1339" t="s">
        <v>126</v>
      </c>
      <c r="K74" s="913" t="e">
        <f ca="1">SUM(K63:K73)</f>
        <v>#NAME?</v>
      </c>
    </row>
    <row r="75" spans="2:11" ht="18" thickTop="1" thickBot="1" x14ac:dyDescent="0.25">
      <c r="B75" s="2003" t="s">
        <v>127</v>
      </c>
      <c r="C75" s="2364">
        <v>1</v>
      </c>
      <c r="D75" s="2365" t="e">
        <f t="shared" ca="1" si="3"/>
        <v>#NAME?</v>
      </c>
      <c r="E75" s="2366" t="e">
        <f t="shared" ca="1" si="4"/>
        <v>#NAME?</v>
      </c>
      <c r="G75" s="791"/>
      <c r="H75" s="915"/>
      <c r="I75" s="791"/>
    </row>
    <row r="76" spans="2:11" ht="18" thickTop="1" thickBot="1" x14ac:dyDescent="0.25">
      <c r="B76" s="1381" t="s">
        <v>128</v>
      </c>
      <c r="C76" s="914"/>
      <c r="D76" s="943" t="e">
        <f ca="1">SUM(D59:D75)</f>
        <v>#NAME?</v>
      </c>
      <c r="E76" s="924" t="e">
        <f ca="1">AVERAGE(E59:E75)</f>
        <v>#NAME?</v>
      </c>
      <c r="G76" s="791"/>
      <c r="H76" s="915"/>
      <c r="I76" s="791"/>
    </row>
    <row r="77" spans="2:11" x14ac:dyDescent="0.2">
      <c r="B77" s="791"/>
      <c r="C77" s="791"/>
      <c r="D77" s="915"/>
      <c r="E77" s="901"/>
      <c r="G77" s="791"/>
      <c r="H77" s="915"/>
      <c r="I77" s="791"/>
    </row>
    <row r="78" spans="2:11" ht="18" thickTop="1" thickBot="1" x14ac:dyDescent="0.25">
      <c r="B78" s="916" t="s">
        <v>129</v>
      </c>
      <c r="C78" s="917">
        <v>1.5</v>
      </c>
      <c r="D78" s="918" t="e">
        <f ca="1">ROUNDUP(C78/$H$58,0)</f>
        <v>#NAME?</v>
      </c>
      <c r="E78" s="919" t="e">
        <f ca="1">(C78/D78)/$H$78</f>
        <v>#NAME?</v>
      </c>
      <c r="G78" s="1564" t="s">
        <v>151</v>
      </c>
      <c r="H78" s="1974" t="e">
        <f ca="1">C78/D78</f>
        <v>#NAME?</v>
      </c>
      <c r="I78" s="791"/>
    </row>
    <row r="79" spans="2:11" ht="17" thickTop="1" x14ac:dyDescent="0.2">
      <c r="B79" s="920" t="s">
        <v>131</v>
      </c>
      <c r="C79" s="921">
        <v>0.1</v>
      </c>
      <c r="D79" s="915" t="e">
        <f ca="1">ROUNDUP(C79/H$58,0)</f>
        <v>#NAME?</v>
      </c>
      <c r="E79" s="922" t="e">
        <f t="shared" ref="E79:E82" ca="1" si="8">(C79/D79)/$H$78</f>
        <v>#NAME?</v>
      </c>
      <c r="G79" s="891" t="s">
        <v>132</v>
      </c>
      <c r="H79" s="1970">
        <f>SUM(C79:C82)</f>
        <v>2</v>
      </c>
      <c r="I79" s="791"/>
    </row>
    <row r="80" spans="2:11" x14ac:dyDescent="0.2">
      <c r="B80" s="920" t="s">
        <v>133</v>
      </c>
      <c r="C80" s="921">
        <v>0.4</v>
      </c>
      <c r="D80" s="915" t="e">
        <f ca="1">ROUNDUP(C80/H$58,0)</f>
        <v>#NAME?</v>
      </c>
      <c r="E80" s="922" t="e">
        <f t="shared" ca="1" si="8"/>
        <v>#NAME?</v>
      </c>
      <c r="G80" s="899"/>
      <c r="H80" s="1971"/>
      <c r="I80" s="791"/>
    </row>
    <row r="81" spans="2:9" x14ac:dyDescent="0.2">
      <c r="B81" s="920" t="s">
        <v>134</v>
      </c>
      <c r="C81" s="921">
        <v>1.3</v>
      </c>
      <c r="D81" s="915" t="e">
        <f ca="1">ROUNDUP(C81/H$58,0)</f>
        <v>#NAME?</v>
      </c>
      <c r="E81" s="922" t="e">
        <f t="shared" ca="1" si="8"/>
        <v>#NAME?</v>
      </c>
      <c r="G81" s="2009" t="s">
        <v>135</v>
      </c>
      <c r="H81" s="1971" t="e">
        <f ca="1">ROUNDUP('BASES MODEL (Base Case)'!D$37*('Avg.Weighted Manufacturer Price'!D12+'Avg.Weighted Manufacturer Price'!D13),0)</f>
        <v>#NAME?</v>
      </c>
      <c r="I81" s="791"/>
    </row>
    <row r="82" spans="2:9" ht="17" thickBot="1" x14ac:dyDescent="0.25">
      <c r="B82" s="2004" t="s">
        <v>136</v>
      </c>
      <c r="C82" s="2371">
        <v>0.2</v>
      </c>
      <c r="D82" s="2005" t="e">
        <f ca="1">ROUNDUP(C82/H$58,0)</f>
        <v>#NAME?</v>
      </c>
      <c r="E82" s="2372" t="e">
        <f t="shared" ca="1" si="8"/>
        <v>#NAME?</v>
      </c>
      <c r="G82" s="2009" t="s">
        <v>137</v>
      </c>
      <c r="H82" s="1971" t="e">
        <f ca="1">ROUNDUP(H81/2,0)</f>
        <v>#NAME?</v>
      </c>
      <c r="I82" s="791"/>
    </row>
    <row r="83" spans="2:9" ht="18" thickTop="1" thickBot="1" x14ac:dyDescent="0.25">
      <c r="B83" s="2373" t="s">
        <v>128</v>
      </c>
      <c r="C83" s="914"/>
      <c r="D83" s="912" t="e">
        <f ca="1">SUM(D78:D82)</f>
        <v>#NAME?</v>
      </c>
      <c r="E83" s="924" t="e">
        <f ca="1">AVERAGE(E78:E82)</f>
        <v>#NAME?</v>
      </c>
      <c r="G83" s="2009" t="s">
        <v>138</v>
      </c>
      <c r="H83" s="1971" t="e">
        <f ca="1">ROUNDUP(H82/'General Assumptions'!C$6,0)</f>
        <v>#NAME?</v>
      </c>
      <c r="I83" s="791"/>
    </row>
    <row r="84" spans="2:9" ht="18" thickTop="1" thickBot="1" x14ac:dyDescent="0.25">
      <c r="B84" s="791"/>
      <c r="C84" s="791"/>
      <c r="D84" s="915"/>
      <c r="E84" s="901"/>
      <c r="G84" s="1689" t="s">
        <v>139</v>
      </c>
      <c r="H84" s="1973" t="e">
        <f ca="1">(H83*H79)/'General Assumptions'!C$10</f>
        <v>#NAME?</v>
      </c>
      <c r="I84" s="791"/>
    </row>
    <row r="85" spans="2:9" x14ac:dyDescent="0.2">
      <c r="B85" s="1519" t="s">
        <v>154</v>
      </c>
      <c r="C85" s="925" t="e">
        <f ca="1">'BASES MODEL (Base Case)'!$D$37</f>
        <v>#NAME?</v>
      </c>
      <c r="D85" s="915"/>
      <c r="E85" s="901"/>
      <c r="G85" s="791"/>
      <c r="H85" s="915"/>
      <c r="I85" s="791"/>
    </row>
    <row r="86" spans="2:9" x14ac:dyDescent="0.2">
      <c r="B86" s="899" t="s">
        <v>141</v>
      </c>
      <c r="C86" s="928" t="e">
        <f ca="1">C85*'General Assumptions'!C13</f>
        <v>#NAME?</v>
      </c>
      <c r="D86" s="915"/>
      <c r="E86" s="901"/>
      <c r="G86" s="791"/>
      <c r="H86" s="915"/>
      <c r="I86" s="791"/>
    </row>
    <row r="87" spans="2:9" x14ac:dyDescent="0.2">
      <c r="B87" s="899" t="s">
        <v>142</v>
      </c>
      <c r="C87" s="928" t="e">
        <f ca="1">C86/'General Assumptions'!C6</f>
        <v>#NAME?</v>
      </c>
      <c r="D87" s="915"/>
      <c r="E87" s="901"/>
      <c r="G87" s="791"/>
      <c r="H87" s="915"/>
      <c r="I87" s="791"/>
    </row>
    <row r="88" spans="2:9" x14ac:dyDescent="0.2">
      <c r="B88" s="899" t="s">
        <v>143</v>
      </c>
      <c r="C88" s="928" t="e">
        <f ca="1">C87/'General Assumptions'!C7</f>
        <v>#NAME?</v>
      </c>
      <c r="D88" s="915"/>
      <c r="E88" s="901"/>
      <c r="G88" s="791"/>
      <c r="H88" s="915"/>
      <c r="I88" s="791"/>
    </row>
    <row r="89" spans="2:9" x14ac:dyDescent="0.2">
      <c r="B89" s="899" t="s">
        <v>144</v>
      </c>
      <c r="C89" s="928" t="e">
        <f ca="1">C88/'General Assumptions'!C10</f>
        <v>#NAME?</v>
      </c>
      <c r="D89" s="915"/>
      <c r="E89" s="901"/>
      <c r="G89" s="791"/>
      <c r="H89" s="915"/>
      <c r="I89" s="791"/>
    </row>
    <row r="90" spans="2:9" x14ac:dyDescent="0.2">
      <c r="B90" s="899" t="s">
        <v>145</v>
      </c>
      <c r="C90" s="928">
        <f>1/3</f>
        <v>0.33333333333333331</v>
      </c>
      <c r="D90" s="915"/>
      <c r="E90" s="901"/>
      <c r="G90" s="791"/>
      <c r="H90" s="915"/>
      <c r="I90" s="791"/>
    </row>
    <row r="91" spans="2:9" x14ac:dyDescent="0.2">
      <c r="B91" s="899"/>
      <c r="C91" s="928"/>
      <c r="D91" s="915"/>
      <c r="E91" s="901"/>
      <c r="G91" s="791"/>
      <c r="H91" s="915"/>
      <c r="I91" s="791"/>
    </row>
    <row r="92" spans="2:9" x14ac:dyDescent="0.2">
      <c r="B92" s="947" t="s">
        <v>146</v>
      </c>
      <c r="C92" s="928">
        <v>0</v>
      </c>
      <c r="D92" s="915"/>
      <c r="E92" s="901"/>
      <c r="G92" s="791"/>
      <c r="H92" s="915"/>
      <c r="I92" s="791"/>
    </row>
    <row r="93" spans="2:9" x14ac:dyDescent="0.2">
      <c r="B93" s="947" t="s">
        <v>147</v>
      </c>
      <c r="C93" s="944" t="e">
        <f ca="1">(C89^2)/((2*C90)*(C90-C89))</f>
        <v>#NAME?</v>
      </c>
      <c r="D93" s="915"/>
      <c r="E93" s="901"/>
      <c r="G93" s="791"/>
      <c r="H93" s="915"/>
      <c r="I93" s="791"/>
    </row>
    <row r="94" spans="2:9" x14ac:dyDescent="0.2">
      <c r="B94" s="903" t="s">
        <v>148</v>
      </c>
      <c r="C94" s="945" t="e">
        <f ca="1">C93/C89</f>
        <v>#NAME?</v>
      </c>
      <c r="D94" s="915"/>
      <c r="E94" s="901"/>
      <c r="G94" s="791"/>
      <c r="H94" s="915"/>
      <c r="I94" s="791"/>
    </row>
    <row r="95" spans="2:9" x14ac:dyDescent="0.2">
      <c r="B95" s="791"/>
      <c r="C95" s="791"/>
      <c r="D95" s="915"/>
      <c r="E95" s="901"/>
      <c r="G95" s="791"/>
      <c r="H95" s="791"/>
      <c r="I95" s="791"/>
    </row>
    <row r="96" spans="2:9" s="1839" customFormat="1" ht="6" customHeight="1" x14ac:dyDescent="0.2"/>
    <row r="97" spans="2:11" x14ac:dyDescent="0.2">
      <c r="B97" s="791"/>
      <c r="C97" s="791"/>
      <c r="D97" s="915"/>
      <c r="E97" s="901"/>
      <c r="G97" s="791"/>
      <c r="H97" s="915"/>
      <c r="I97" s="791"/>
    </row>
    <row r="98" spans="2:11" x14ac:dyDescent="0.2">
      <c r="B98" s="2841" t="s">
        <v>73</v>
      </c>
      <c r="C98" s="2842"/>
      <c r="D98" s="2842"/>
      <c r="E98" s="2843"/>
      <c r="G98" s="891" t="s">
        <v>155</v>
      </c>
      <c r="H98" s="1535" t="e">
        <f ca="1">ROUNDUP('Scrap + Defect'!D51,0)</f>
        <v>#NAME?</v>
      </c>
      <c r="I98" s="791"/>
    </row>
    <row r="99" spans="2:11" ht="32" x14ac:dyDescent="0.2">
      <c r="B99" s="933" t="s">
        <v>102</v>
      </c>
      <c r="C99" s="934" t="s">
        <v>103</v>
      </c>
      <c r="D99" s="935" t="s">
        <v>150</v>
      </c>
      <c r="E99" s="936" t="s">
        <v>11</v>
      </c>
      <c r="G99" s="899" t="s">
        <v>105</v>
      </c>
      <c r="H99" s="893" t="e">
        <f ca="1">1/(H98/('General Assumptions'!C6*'General Assumptions'!C7*'General Assumptions'!C10))</f>
        <v>#NAME?</v>
      </c>
      <c r="I99" s="791"/>
    </row>
    <row r="100" spans="2:11" x14ac:dyDescent="0.2">
      <c r="B100" s="895" t="s">
        <v>106</v>
      </c>
      <c r="C100" s="896">
        <v>3</v>
      </c>
      <c r="D100" s="897" t="e">
        <f t="shared" ref="D100:D116" ca="1" si="9">ROUNDUP(C100/H$99,0)</f>
        <v>#NAME?</v>
      </c>
      <c r="E100" s="898" t="e">
        <f ca="1">(C100/D100)/$H$100</f>
        <v>#NAME?</v>
      </c>
      <c r="G100" s="899" t="s">
        <v>107</v>
      </c>
      <c r="H100" s="900" t="e">
        <f ca="1">C109/D109</f>
        <v>#NAME?</v>
      </c>
      <c r="I100" s="791"/>
      <c r="J100" s="946"/>
    </row>
    <row r="101" spans="2:11" x14ac:dyDescent="0.2">
      <c r="B101" s="902" t="s">
        <v>108</v>
      </c>
      <c r="C101" s="896">
        <v>3</v>
      </c>
      <c r="D101" s="897" t="e">
        <f t="shared" ca="1" si="9"/>
        <v>#NAME?</v>
      </c>
      <c r="E101" s="898" t="e">
        <f t="shared" ref="E101:E116" ca="1" si="10">(C101/D101)/$H$100</f>
        <v>#NAME?</v>
      </c>
      <c r="G101" s="903" t="s">
        <v>109</v>
      </c>
      <c r="H101" s="1536" t="e">
        <f ca="1">ROUNDDOWN('General Assumptions'!C$10/H100*'General Assumptions'!C$7*'General Assumptions'!C$9*'General Assumptions'!C$8,0)</f>
        <v>#NAME?</v>
      </c>
      <c r="I101" s="791"/>
    </row>
    <row r="102" spans="2:11" x14ac:dyDescent="0.2">
      <c r="B102" s="895" t="s">
        <v>110</v>
      </c>
      <c r="C102" s="896">
        <v>2</v>
      </c>
      <c r="D102" s="897" t="e">
        <f t="shared" ca="1" si="9"/>
        <v>#NAME?</v>
      </c>
      <c r="E102" s="898" t="e">
        <f t="shared" ca="1" si="10"/>
        <v>#NAME?</v>
      </c>
    </row>
    <row r="103" spans="2:11" x14ac:dyDescent="0.2">
      <c r="B103" s="902" t="s">
        <v>111</v>
      </c>
      <c r="C103" s="896">
        <v>1</v>
      </c>
      <c r="D103" s="897" t="e">
        <f t="shared" ca="1" si="9"/>
        <v>#NAME?</v>
      </c>
      <c r="E103" s="898" t="e">
        <f t="shared" ca="1" si="10"/>
        <v>#NAME?</v>
      </c>
      <c r="G103" s="1250" t="s">
        <v>78</v>
      </c>
      <c r="H103" s="966" t="s">
        <v>112</v>
      </c>
      <c r="I103" s="967" t="s">
        <v>79</v>
      </c>
      <c r="J103" s="967" t="s">
        <v>152</v>
      </c>
      <c r="K103" s="1249" t="s">
        <v>153</v>
      </c>
    </row>
    <row r="104" spans="2:11" x14ac:dyDescent="0.2">
      <c r="B104" s="902" t="s">
        <v>113</v>
      </c>
      <c r="C104" s="896">
        <v>1.8</v>
      </c>
      <c r="D104" s="937" t="e">
        <f t="shared" ca="1" si="9"/>
        <v>#NAME?</v>
      </c>
      <c r="E104" s="898" t="e">
        <f t="shared" ca="1" si="10"/>
        <v>#NAME?</v>
      </c>
      <c r="G104" s="899" t="s">
        <v>81</v>
      </c>
      <c r="H104" s="906" t="e">
        <f ca="1">D109+D110+D112+D114</f>
        <v>#NAME?</v>
      </c>
      <c r="I104" s="938" t="e">
        <f ca="1">$C$3*H104</f>
        <v>#NAME?</v>
      </c>
      <c r="J104" s="906" t="e">
        <f t="shared" ref="J104:J113" ca="1" si="11">H104-H63</f>
        <v>#NAME?</v>
      </c>
      <c r="K104" s="907" t="e">
        <f t="shared" ref="K104:K111" ca="1" si="12">J104*$C3</f>
        <v>#NAME?</v>
      </c>
    </row>
    <row r="105" spans="2:11" x14ac:dyDescent="0.2">
      <c r="B105" s="902" t="s">
        <v>114</v>
      </c>
      <c r="C105" s="896">
        <v>1.8</v>
      </c>
      <c r="D105" s="937" t="e">
        <f t="shared" ca="1" si="9"/>
        <v>#NAME?</v>
      </c>
      <c r="E105" s="898" t="e">
        <f t="shared" ca="1" si="10"/>
        <v>#NAME?</v>
      </c>
      <c r="G105" s="899" t="s">
        <v>83</v>
      </c>
      <c r="H105" s="906" t="e">
        <f ca="1">D104+D105+D106</f>
        <v>#NAME?</v>
      </c>
      <c r="I105" s="938" t="e">
        <f ca="1">$C$4*H105</f>
        <v>#NAME?</v>
      </c>
      <c r="J105" s="906" t="e">
        <f t="shared" ca="1" si="11"/>
        <v>#NAME?</v>
      </c>
      <c r="K105" s="907" t="e">
        <f t="shared" ca="1" si="12"/>
        <v>#NAME?</v>
      </c>
    </row>
    <row r="106" spans="2:11" x14ac:dyDescent="0.2">
      <c r="B106" s="902" t="s">
        <v>115</v>
      </c>
      <c r="C106" s="896">
        <v>1.7</v>
      </c>
      <c r="D106" s="937" t="e">
        <f t="shared" ca="1" si="9"/>
        <v>#NAME?</v>
      </c>
      <c r="E106" s="898" t="e">
        <f t="shared" ca="1" si="10"/>
        <v>#NAME?</v>
      </c>
      <c r="G106" s="899" t="s">
        <v>85</v>
      </c>
      <c r="H106" s="906">
        <f ca="1">COUNT(D104:D107)</f>
        <v>0</v>
      </c>
      <c r="I106" s="938">
        <f ca="1">$C$5*H106</f>
        <v>0</v>
      </c>
      <c r="J106" s="906">
        <f t="shared" ca="1" si="11"/>
        <v>0</v>
      </c>
      <c r="K106" s="907">
        <f t="shared" ca="1" si="12"/>
        <v>0</v>
      </c>
    </row>
    <row r="107" spans="2:11" x14ac:dyDescent="0.2">
      <c r="B107" s="902" t="s">
        <v>116</v>
      </c>
      <c r="C107" s="896">
        <v>1.7</v>
      </c>
      <c r="D107" s="937" t="e">
        <f t="shared" ca="1" si="9"/>
        <v>#NAME?</v>
      </c>
      <c r="E107" s="898" t="e">
        <f t="shared" ca="1" si="10"/>
        <v>#NAME?</v>
      </c>
      <c r="G107" s="899" t="s">
        <v>87</v>
      </c>
      <c r="H107" s="906" t="e">
        <f ca="1">COUNT(D104:D107)+D109+D110+D112+D114</f>
        <v>#NAME?</v>
      </c>
      <c r="I107" s="938" t="e">
        <f ca="1">$C$6*H107</f>
        <v>#NAME?</v>
      </c>
      <c r="J107" s="906" t="e">
        <f t="shared" ca="1" si="11"/>
        <v>#NAME?</v>
      </c>
      <c r="K107" s="907" t="e">
        <f t="shared" ca="1" si="12"/>
        <v>#NAME?</v>
      </c>
    </row>
    <row r="108" spans="2:11" x14ac:dyDescent="0.2">
      <c r="B108" s="902" t="s">
        <v>117</v>
      </c>
      <c r="C108" s="896">
        <v>1</v>
      </c>
      <c r="D108" s="937" t="e">
        <f t="shared" ca="1" si="9"/>
        <v>#NAME?</v>
      </c>
      <c r="E108" s="898" t="e">
        <f t="shared" ca="1" si="10"/>
        <v>#NAME?</v>
      </c>
      <c r="G108" s="899" t="s">
        <v>89</v>
      </c>
      <c r="H108" s="906">
        <f ca="1">COUNT(D104:D115)</f>
        <v>0</v>
      </c>
      <c r="I108" s="938">
        <f ca="1">$C$7*H108</f>
        <v>0</v>
      </c>
      <c r="J108" s="906">
        <f t="shared" ca="1" si="11"/>
        <v>0</v>
      </c>
      <c r="K108" s="907">
        <f t="shared" ca="1" si="12"/>
        <v>0</v>
      </c>
    </row>
    <row r="109" spans="2:11" x14ac:dyDescent="0.2">
      <c r="B109" s="902" t="s">
        <v>118</v>
      </c>
      <c r="C109" s="896">
        <v>6</v>
      </c>
      <c r="D109" s="937" t="e">
        <f t="shared" ca="1" si="9"/>
        <v>#NAME?</v>
      </c>
      <c r="E109" s="898" t="e">
        <f t="shared" ca="1" si="10"/>
        <v>#NAME?</v>
      </c>
      <c r="G109" s="899" t="s">
        <v>91</v>
      </c>
      <c r="H109" s="906" t="e">
        <f ca="1">D121*2</f>
        <v>#NAME?</v>
      </c>
      <c r="I109" s="938" t="e">
        <f ca="1">$C$8*H109</f>
        <v>#NAME?</v>
      </c>
      <c r="J109" s="906" t="e">
        <f t="shared" ca="1" si="11"/>
        <v>#NAME?</v>
      </c>
      <c r="K109" s="907" t="e">
        <f t="shared" ca="1" si="12"/>
        <v>#NAME?</v>
      </c>
    </row>
    <row r="110" spans="2:11" x14ac:dyDescent="0.2">
      <c r="B110" s="902" t="s">
        <v>119</v>
      </c>
      <c r="C110" s="896">
        <v>4</v>
      </c>
      <c r="D110" s="937" t="e">
        <f t="shared" ca="1" si="9"/>
        <v>#NAME?</v>
      </c>
      <c r="E110" s="898" t="e">
        <f t="shared" ca="1" si="10"/>
        <v>#NAME?</v>
      </c>
      <c r="G110" s="899" t="s">
        <v>93</v>
      </c>
      <c r="H110" s="906">
        <v>1</v>
      </c>
      <c r="I110" s="938">
        <f>$C$9*H110</f>
        <v>7490</v>
      </c>
      <c r="J110" s="906">
        <f t="shared" si="11"/>
        <v>0</v>
      </c>
      <c r="K110" s="907">
        <f t="shared" si="12"/>
        <v>0</v>
      </c>
    </row>
    <row r="111" spans="2:11" x14ac:dyDescent="0.2">
      <c r="B111" s="902" t="s">
        <v>120</v>
      </c>
      <c r="C111" s="896">
        <v>1</v>
      </c>
      <c r="D111" s="937" t="e">
        <f t="shared" ca="1" si="9"/>
        <v>#NAME?</v>
      </c>
      <c r="E111" s="898" t="e">
        <f t="shared" ca="1" si="10"/>
        <v>#NAME?</v>
      </c>
      <c r="G111" s="899" t="s">
        <v>95</v>
      </c>
      <c r="H111" s="906">
        <f ca="1">COUNT(D100:D116)</f>
        <v>0</v>
      </c>
      <c r="I111" s="938">
        <f ca="1">$C$10*H111</f>
        <v>0</v>
      </c>
      <c r="J111" s="906">
        <f t="shared" ca="1" si="11"/>
        <v>0</v>
      </c>
      <c r="K111" s="907">
        <f t="shared" ca="1" si="12"/>
        <v>0</v>
      </c>
    </row>
    <row r="112" spans="2:11" x14ac:dyDescent="0.2">
      <c r="B112" s="902" t="s">
        <v>121</v>
      </c>
      <c r="C112" s="896">
        <v>3</v>
      </c>
      <c r="D112" s="937" t="e">
        <f t="shared" ca="1" si="9"/>
        <v>#NAME?</v>
      </c>
      <c r="E112" s="898" t="e">
        <f t="shared" ca="1" si="10"/>
        <v>#NAME?</v>
      </c>
      <c r="G112" s="947" t="s">
        <v>97</v>
      </c>
      <c r="H112" s="948" t="e">
        <f ca="1">D122</f>
        <v>#NAME?</v>
      </c>
      <c r="I112" s="949" t="e">
        <f ca="1">H112*C11</f>
        <v>#NAME?</v>
      </c>
      <c r="J112" s="906" t="e">
        <f t="shared" ca="1" si="11"/>
        <v>#NAME?</v>
      </c>
      <c r="K112" s="907" t="e">
        <f ca="1">J112*C11</f>
        <v>#NAME?</v>
      </c>
    </row>
    <row r="113" spans="2:11" x14ac:dyDescent="0.2">
      <c r="B113" s="902" t="s">
        <v>122</v>
      </c>
      <c r="C113" s="896">
        <v>0.5</v>
      </c>
      <c r="D113" s="937" t="e">
        <f t="shared" ca="1" si="9"/>
        <v>#NAME?</v>
      </c>
      <c r="E113" s="898" t="e">
        <f t="shared" ca="1" si="10"/>
        <v>#NAME?</v>
      </c>
      <c r="G113" s="908" t="s">
        <v>99</v>
      </c>
      <c r="H113" s="909" t="e">
        <f ca="1">D122</f>
        <v>#NAME?</v>
      </c>
      <c r="I113" s="950" t="e">
        <f ca="1">H113*C12</f>
        <v>#NAME?</v>
      </c>
      <c r="J113" s="909" t="e">
        <f t="shared" ca="1" si="11"/>
        <v>#NAME?</v>
      </c>
      <c r="K113" s="910" t="e">
        <f ca="1">J113*C12</f>
        <v>#NAME?</v>
      </c>
    </row>
    <row r="114" spans="2:11" ht="17" thickBot="1" x14ac:dyDescent="0.25">
      <c r="B114" s="902" t="s">
        <v>123</v>
      </c>
      <c r="C114" s="896">
        <v>3</v>
      </c>
      <c r="D114" s="937" t="e">
        <f t="shared" ca="1" si="9"/>
        <v>#NAME?</v>
      </c>
      <c r="E114" s="898" t="e">
        <f t="shared" ca="1" si="10"/>
        <v>#NAME?</v>
      </c>
      <c r="G114" s="2367" t="s">
        <v>124</v>
      </c>
      <c r="H114" s="2368"/>
      <c r="I114" s="2369"/>
      <c r="J114" s="2369"/>
      <c r="K114" s="2370" t="e">
        <f ca="1">SUM(I104:I113)*0.05</f>
        <v>#NAME?</v>
      </c>
    </row>
    <row r="115" spans="2:11" ht="18" thickTop="1" thickBot="1" x14ac:dyDescent="0.25">
      <c r="B115" s="902" t="s">
        <v>125</v>
      </c>
      <c r="C115" s="778">
        <v>0.5</v>
      </c>
      <c r="D115" s="905" t="e">
        <f t="shared" ca="1" si="9"/>
        <v>#NAME?</v>
      </c>
      <c r="E115" s="898" t="e">
        <f t="shared" ca="1" si="10"/>
        <v>#NAME?</v>
      </c>
      <c r="G115" s="911"/>
      <c r="H115" s="912"/>
      <c r="I115" s="914"/>
      <c r="J115" s="1339" t="s">
        <v>126</v>
      </c>
      <c r="K115" s="951" t="e">
        <f ca="1">SUM(K104:K114)</f>
        <v>#NAME?</v>
      </c>
    </row>
    <row r="116" spans="2:11" ht="18" thickTop="1" thickBot="1" x14ac:dyDescent="0.25">
      <c r="B116" s="2003" t="s">
        <v>127</v>
      </c>
      <c r="C116" s="2364">
        <v>1</v>
      </c>
      <c r="D116" s="2365" t="e">
        <f t="shared" ca="1" si="9"/>
        <v>#NAME?</v>
      </c>
      <c r="E116" s="2366" t="e">
        <f t="shared" ca="1" si="10"/>
        <v>#NAME?</v>
      </c>
    </row>
    <row r="117" spans="2:11" ht="18" thickTop="1" thickBot="1" x14ac:dyDescent="0.25">
      <c r="B117" s="1381" t="s">
        <v>128</v>
      </c>
      <c r="C117" s="914"/>
      <c r="D117" s="912" t="e">
        <f ca="1">SUM(D100:D116)</f>
        <v>#NAME?</v>
      </c>
      <c r="E117" s="924" t="e">
        <f ca="1">AVERAGE(E100:E116)</f>
        <v>#NAME?</v>
      </c>
      <c r="G117" s="952"/>
    </row>
    <row r="118" spans="2:11" x14ac:dyDescent="0.2">
      <c r="B118" s="791"/>
      <c r="C118" s="791"/>
      <c r="E118" s="901"/>
      <c r="G118" s="952"/>
    </row>
    <row r="119" spans="2:11" x14ac:dyDescent="0.2">
      <c r="B119" s="916" t="s">
        <v>129</v>
      </c>
      <c r="C119" s="917">
        <v>1.5</v>
      </c>
      <c r="D119" s="918" t="e">
        <f ca="1">ROUNDUP(C119/$H$99,0)</f>
        <v>#NAME?</v>
      </c>
      <c r="E119" s="919" t="e">
        <f ca="1">(C119/D119)/H$119</f>
        <v>#NAME?</v>
      </c>
      <c r="G119" s="1975" t="s">
        <v>151</v>
      </c>
      <c r="H119" s="1974" t="e">
        <f ca="1">C119/D119</f>
        <v>#NAME?</v>
      </c>
    </row>
    <row r="120" spans="2:11" x14ac:dyDescent="0.2">
      <c r="B120" s="920" t="s">
        <v>131</v>
      </c>
      <c r="C120" s="921">
        <v>0.1</v>
      </c>
      <c r="D120" s="915" t="e">
        <f ca="1">ROUNDUP(C120/H$99,0)</f>
        <v>#NAME?</v>
      </c>
      <c r="E120" s="922" t="e">
        <f t="shared" ref="E120:E123" ca="1" si="13">(C120/D120)/H$119</f>
        <v>#NAME?</v>
      </c>
      <c r="G120" s="916" t="s">
        <v>156</v>
      </c>
      <c r="H120" s="1970">
        <f>SUM(C120:C123)</f>
        <v>2</v>
      </c>
    </row>
    <row r="121" spans="2:11" x14ac:dyDescent="0.2">
      <c r="B121" s="920" t="s">
        <v>133</v>
      </c>
      <c r="C121" s="921">
        <v>0.4</v>
      </c>
      <c r="D121" s="915" t="e">
        <f ca="1">ROUNDUP(C121/H$99,0)</f>
        <v>#NAME?</v>
      </c>
      <c r="E121" s="922" t="e">
        <f t="shared" ca="1" si="13"/>
        <v>#NAME?</v>
      </c>
      <c r="G121" s="920"/>
      <c r="H121" s="1971"/>
    </row>
    <row r="122" spans="2:11" x14ac:dyDescent="0.2">
      <c r="B122" s="920" t="s">
        <v>134</v>
      </c>
      <c r="C122" s="921">
        <v>1.3</v>
      </c>
      <c r="D122" s="915" t="e">
        <f ca="1">ROUNDUP(C122/H$99,0)</f>
        <v>#NAME?</v>
      </c>
      <c r="E122" s="922" t="e">
        <f t="shared" ca="1" si="13"/>
        <v>#NAME?</v>
      </c>
      <c r="G122" s="1972" t="s">
        <v>135</v>
      </c>
      <c r="H122" s="1971" t="e">
        <f ca="1">ROUNDUP('BASES MODEL (Base Case)'!E$37*('Avg.Weighted Manufacturer Price'!D19+'Avg.Weighted Manufacturer Price'!D20),0)</f>
        <v>#NAME?</v>
      </c>
    </row>
    <row r="123" spans="2:11" ht="17" thickBot="1" x14ac:dyDescent="0.25">
      <c r="B123" s="2004" t="s">
        <v>136</v>
      </c>
      <c r="C123" s="2371">
        <v>0.2</v>
      </c>
      <c r="D123" s="2005" t="e">
        <f ca="1">ROUNDUP(C123/H$99,0)</f>
        <v>#NAME?</v>
      </c>
      <c r="E123" s="2372" t="e">
        <f t="shared" ca="1" si="13"/>
        <v>#NAME?</v>
      </c>
      <c r="G123" s="1972" t="s">
        <v>137</v>
      </c>
      <c r="H123" s="1971" t="e">
        <f ca="1">ROUNDUP(H122/2,0)</f>
        <v>#NAME?</v>
      </c>
    </row>
    <row r="124" spans="2:11" ht="18" thickTop="1" thickBot="1" x14ac:dyDescent="0.25">
      <c r="B124" s="2377" t="s">
        <v>128</v>
      </c>
      <c r="C124" s="914"/>
      <c r="D124" s="912" t="e">
        <f ca="1">SUM(D119:D123)</f>
        <v>#NAME?</v>
      </c>
      <c r="E124" s="924" t="e">
        <f ca="1">AVERAGE(E119:E123)</f>
        <v>#NAME?</v>
      </c>
      <c r="G124" s="1972" t="s">
        <v>138</v>
      </c>
      <c r="H124" s="1971" t="e">
        <f ca="1">ROUNDUP(H123/'General Assumptions'!C$6,0)</f>
        <v>#NAME?</v>
      </c>
    </row>
    <row r="125" spans="2:11" ht="18" thickTop="1" thickBot="1" x14ac:dyDescent="0.25">
      <c r="B125" s="791"/>
      <c r="C125" s="791"/>
      <c r="D125" s="915"/>
      <c r="E125" s="901"/>
      <c r="G125" s="911" t="s">
        <v>139</v>
      </c>
      <c r="H125" s="1973" t="e">
        <f ca="1">(H124*H120)/'General Assumptions'!C$10</f>
        <v>#NAME?</v>
      </c>
    </row>
    <row r="126" spans="2:11" x14ac:dyDescent="0.2">
      <c r="B126" s="965" t="s">
        <v>157</v>
      </c>
      <c r="C126" s="925" t="e">
        <f ca="1">'BASES MODEL (Base Case)'!$E$37</f>
        <v>#NAME?</v>
      </c>
      <c r="D126" s="915"/>
      <c r="E126" s="901"/>
      <c r="H126" s="952"/>
    </row>
    <row r="127" spans="2:11" x14ac:dyDescent="0.2">
      <c r="B127" s="899" t="s">
        <v>141</v>
      </c>
      <c r="C127" s="928" t="e">
        <f ca="1">C126*'General Assumptions'!C13</f>
        <v>#NAME?</v>
      </c>
      <c r="D127" s="915"/>
      <c r="E127" s="901"/>
      <c r="G127" s="952"/>
    </row>
    <row r="128" spans="2:11" x14ac:dyDescent="0.2">
      <c r="B128" s="899" t="s">
        <v>142</v>
      </c>
      <c r="C128" s="928" t="e">
        <f ca="1">C127/'General Assumptions'!C6</f>
        <v>#NAME?</v>
      </c>
      <c r="D128" s="915"/>
      <c r="E128" s="901"/>
      <c r="G128" s="952"/>
    </row>
    <row r="129" spans="2:11" x14ac:dyDescent="0.2">
      <c r="B129" s="899" t="s">
        <v>143</v>
      </c>
      <c r="C129" s="928" t="e">
        <f ca="1">C128/'General Assumptions'!C7</f>
        <v>#NAME?</v>
      </c>
      <c r="D129" s="915"/>
      <c r="E129" s="901"/>
      <c r="G129" s="952"/>
    </row>
    <row r="130" spans="2:11" x14ac:dyDescent="0.2">
      <c r="B130" s="899" t="s">
        <v>144</v>
      </c>
      <c r="C130" s="928" t="e">
        <f ca="1">C129/'General Assumptions'!C10</f>
        <v>#NAME?</v>
      </c>
      <c r="D130" s="915"/>
      <c r="E130" s="901"/>
      <c r="G130" s="952"/>
    </row>
    <row r="131" spans="2:11" x14ac:dyDescent="0.2">
      <c r="B131" s="899" t="s">
        <v>145</v>
      </c>
      <c r="C131" s="928">
        <f>1/3</f>
        <v>0.33333333333333331</v>
      </c>
      <c r="D131" s="915"/>
      <c r="E131" s="901"/>
      <c r="G131" s="952"/>
    </row>
    <row r="132" spans="2:11" x14ac:dyDescent="0.2">
      <c r="B132" s="899"/>
      <c r="C132" s="928"/>
      <c r="D132" s="915"/>
      <c r="E132" s="901"/>
      <c r="G132" s="952"/>
    </row>
    <row r="133" spans="2:11" x14ac:dyDescent="0.2">
      <c r="B133" s="947" t="s">
        <v>146</v>
      </c>
      <c r="C133" s="928">
        <v>1</v>
      </c>
      <c r="D133" s="915"/>
      <c r="E133" s="901"/>
      <c r="G133" s="952"/>
    </row>
    <row r="134" spans="2:11" x14ac:dyDescent="0.2">
      <c r="B134" s="947" t="s">
        <v>147</v>
      </c>
      <c r="C134" s="928" t="e">
        <f ca="1">(C130^2)/((2*C131)*(C131-C130))</f>
        <v>#NAME?</v>
      </c>
      <c r="D134" s="915"/>
      <c r="E134" s="901"/>
      <c r="G134" s="952"/>
    </row>
    <row r="135" spans="2:11" x14ac:dyDescent="0.2">
      <c r="B135" s="903" t="s">
        <v>148</v>
      </c>
      <c r="C135" s="945" t="e">
        <f ca="1">C134/C130</f>
        <v>#NAME?</v>
      </c>
      <c r="D135" s="915"/>
      <c r="E135" s="901"/>
      <c r="G135" s="952"/>
    </row>
    <row r="136" spans="2:11" x14ac:dyDescent="0.2">
      <c r="B136" s="791"/>
      <c r="C136" s="791"/>
      <c r="D136" s="915"/>
      <c r="E136" s="901"/>
    </row>
    <row r="137" spans="2:11" s="1839" customFormat="1" ht="6" customHeight="1" x14ac:dyDescent="0.2"/>
    <row r="138" spans="2:11" x14ac:dyDescent="0.2">
      <c r="B138" s="791"/>
      <c r="C138" s="791"/>
      <c r="D138" s="915"/>
      <c r="E138" s="901"/>
    </row>
    <row r="139" spans="2:11" x14ac:dyDescent="0.2">
      <c r="B139" s="2841" t="s">
        <v>74</v>
      </c>
      <c r="C139" s="2842"/>
      <c r="D139" s="2842"/>
      <c r="E139" s="2843"/>
      <c r="G139" s="891" t="s">
        <v>158</v>
      </c>
      <c r="H139" s="1535" t="e">
        <f ca="1">ROUNDUP('Scrap + Defect'!D68,0)</f>
        <v>#NAME?</v>
      </c>
    </row>
    <row r="140" spans="2:11" ht="32" x14ac:dyDescent="0.2">
      <c r="B140" s="933" t="s">
        <v>102</v>
      </c>
      <c r="C140" s="934" t="s">
        <v>103</v>
      </c>
      <c r="D140" s="935" t="s">
        <v>150</v>
      </c>
      <c r="E140" s="936" t="s">
        <v>11</v>
      </c>
      <c r="G140" s="899" t="s">
        <v>105</v>
      </c>
      <c r="H140" s="893" t="e">
        <f ca="1">1/(H139/('General Assumptions'!C6*'General Assumptions'!C7*'General Assumptions'!C10))</f>
        <v>#NAME?</v>
      </c>
    </row>
    <row r="141" spans="2:11" x14ac:dyDescent="0.2">
      <c r="B141" s="895" t="s">
        <v>106</v>
      </c>
      <c r="C141" s="896">
        <v>3</v>
      </c>
      <c r="D141" s="897" t="e">
        <f t="shared" ref="D141:D157" ca="1" si="14">ROUNDUP(C141/H$140,0)</f>
        <v>#NAME?</v>
      </c>
      <c r="E141" s="898" t="e">
        <f t="shared" ref="E141:E157" ca="1" si="15">(C141/D141)/$H$141</f>
        <v>#NAME?</v>
      </c>
      <c r="G141" s="899" t="s">
        <v>107</v>
      </c>
      <c r="H141" s="900" t="e">
        <f ca="1">C151/D151</f>
        <v>#NAME?</v>
      </c>
    </row>
    <row r="142" spans="2:11" x14ac:dyDescent="0.2">
      <c r="B142" s="902" t="s">
        <v>108</v>
      </c>
      <c r="C142" s="896">
        <v>3</v>
      </c>
      <c r="D142" s="897" t="e">
        <f t="shared" ca="1" si="14"/>
        <v>#NAME?</v>
      </c>
      <c r="E142" s="898" t="e">
        <f t="shared" ca="1" si="15"/>
        <v>#NAME?</v>
      </c>
      <c r="G142" s="903" t="s">
        <v>109</v>
      </c>
      <c r="H142" s="1536" t="e">
        <f ca="1">ROUNDDOWN('General Assumptions'!C$10/H141*'General Assumptions'!C$7*'General Assumptions'!C$9*'General Assumptions'!C$8,0)</f>
        <v>#NAME?</v>
      </c>
    </row>
    <row r="143" spans="2:11" x14ac:dyDescent="0.2">
      <c r="B143" s="895" t="s">
        <v>110</v>
      </c>
      <c r="C143" s="896">
        <v>2</v>
      </c>
      <c r="D143" s="897" t="e">
        <f t="shared" ca="1" si="14"/>
        <v>#NAME?</v>
      </c>
      <c r="E143" s="898" t="e">
        <f t="shared" ca="1" si="15"/>
        <v>#NAME?</v>
      </c>
    </row>
    <row r="144" spans="2:11" x14ac:dyDescent="0.2">
      <c r="B144" s="902" t="s">
        <v>111</v>
      </c>
      <c r="C144" s="896">
        <v>1</v>
      </c>
      <c r="D144" s="897" t="e">
        <f t="shared" ca="1" si="14"/>
        <v>#NAME?</v>
      </c>
      <c r="E144" s="898" t="e">
        <f t="shared" ca="1" si="15"/>
        <v>#NAME?</v>
      </c>
      <c r="G144" s="1250" t="s">
        <v>78</v>
      </c>
      <c r="H144" s="966" t="s">
        <v>112</v>
      </c>
      <c r="I144" s="967" t="s">
        <v>79</v>
      </c>
      <c r="J144" s="967" t="s">
        <v>152</v>
      </c>
      <c r="K144" s="1249" t="s">
        <v>153</v>
      </c>
    </row>
    <row r="145" spans="2:11" x14ac:dyDescent="0.2">
      <c r="B145" s="902" t="s">
        <v>113</v>
      </c>
      <c r="C145" s="896">
        <v>1.8</v>
      </c>
      <c r="D145" s="937" t="e">
        <f t="shared" ca="1" si="14"/>
        <v>#NAME?</v>
      </c>
      <c r="E145" s="898" t="e">
        <f t="shared" ca="1" si="15"/>
        <v>#NAME?</v>
      </c>
      <c r="G145" s="899" t="s">
        <v>81</v>
      </c>
      <c r="H145" s="906" t="e">
        <f ca="1">D150+D151+D153+D155</f>
        <v>#NAME?</v>
      </c>
      <c r="I145" s="938" t="e">
        <f ca="1">$C$3*H145</f>
        <v>#NAME?</v>
      </c>
      <c r="J145" s="906" t="e">
        <f t="shared" ref="J145:J154" ca="1" si="16">H145-H104</f>
        <v>#NAME?</v>
      </c>
      <c r="K145" s="907" t="e">
        <f t="shared" ref="K145:K152" ca="1" si="17">J145*$C3</f>
        <v>#NAME?</v>
      </c>
    </row>
    <row r="146" spans="2:11" x14ac:dyDescent="0.2">
      <c r="B146" s="902" t="s">
        <v>114</v>
      </c>
      <c r="C146" s="896">
        <v>1.8</v>
      </c>
      <c r="D146" s="937" t="e">
        <f t="shared" ca="1" si="14"/>
        <v>#NAME?</v>
      </c>
      <c r="E146" s="898" t="e">
        <f t="shared" ca="1" si="15"/>
        <v>#NAME?</v>
      </c>
      <c r="G146" s="1901" t="s">
        <v>83</v>
      </c>
      <c r="H146" s="906" t="e">
        <f ca="1">D145+D146+D147</f>
        <v>#NAME?</v>
      </c>
      <c r="I146" s="938" t="e">
        <f ca="1">$C$4*H146</f>
        <v>#NAME?</v>
      </c>
      <c r="J146" s="906" t="e">
        <f t="shared" ca="1" si="16"/>
        <v>#NAME?</v>
      </c>
      <c r="K146" s="907" t="e">
        <f t="shared" ca="1" si="17"/>
        <v>#NAME?</v>
      </c>
    </row>
    <row r="147" spans="2:11" x14ac:dyDescent="0.2">
      <c r="B147" s="902" t="s">
        <v>115</v>
      </c>
      <c r="C147" s="896">
        <v>1.7</v>
      </c>
      <c r="D147" s="937" t="e">
        <f t="shared" ca="1" si="14"/>
        <v>#NAME?</v>
      </c>
      <c r="E147" s="898" t="e">
        <f t="shared" ca="1" si="15"/>
        <v>#NAME?</v>
      </c>
      <c r="G147" s="899" t="s">
        <v>85</v>
      </c>
      <c r="H147" s="906">
        <f ca="1">COUNT(D145:D148)</f>
        <v>0</v>
      </c>
      <c r="I147" s="938">
        <f ca="1">$C$5*H147</f>
        <v>0</v>
      </c>
      <c r="J147" s="906">
        <f t="shared" ca="1" si="16"/>
        <v>0</v>
      </c>
      <c r="K147" s="907">
        <f t="shared" ca="1" si="17"/>
        <v>0</v>
      </c>
    </row>
    <row r="148" spans="2:11" x14ac:dyDescent="0.2">
      <c r="B148" s="902" t="s">
        <v>116</v>
      </c>
      <c r="C148" s="896">
        <v>1.7</v>
      </c>
      <c r="D148" s="937" t="e">
        <f t="shared" ca="1" si="14"/>
        <v>#NAME?</v>
      </c>
      <c r="E148" s="898" t="e">
        <f t="shared" ca="1" si="15"/>
        <v>#NAME?</v>
      </c>
      <c r="G148" s="899" t="s">
        <v>87</v>
      </c>
      <c r="H148" s="906" t="e">
        <f ca="1">COUNT(D145:D148)+D150+D151+D153+D155</f>
        <v>#NAME?</v>
      </c>
      <c r="I148" s="938" t="e">
        <f ca="1">$C$6*H148</f>
        <v>#NAME?</v>
      </c>
      <c r="J148" s="906" t="e">
        <f t="shared" ca="1" si="16"/>
        <v>#NAME?</v>
      </c>
      <c r="K148" s="907" t="e">
        <f t="shared" ca="1" si="17"/>
        <v>#NAME?</v>
      </c>
    </row>
    <row r="149" spans="2:11" x14ac:dyDescent="0.2">
      <c r="B149" s="902" t="s">
        <v>117</v>
      </c>
      <c r="C149" s="896">
        <v>1</v>
      </c>
      <c r="D149" s="937" t="e">
        <f t="shared" ca="1" si="14"/>
        <v>#NAME?</v>
      </c>
      <c r="E149" s="898" t="e">
        <f t="shared" ca="1" si="15"/>
        <v>#NAME?</v>
      </c>
      <c r="G149" s="899" t="s">
        <v>89</v>
      </c>
      <c r="H149" s="906">
        <f ca="1">COUNT(D145:D156)</f>
        <v>0</v>
      </c>
      <c r="I149" s="938">
        <f ca="1">$C$7*H149</f>
        <v>0</v>
      </c>
      <c r="J149" s="906">
        <f t="shared" ca="1" si="16"/>
        <v>0</v>
      </c>
      <c r="K149" s="907">
        <f t="shared" ca="1" si="17"/>
        <v>0</v>
      </c>
    </row>
    <row r="150" spans="2:11" x14ac:dyDescent="0.2">
      <c r="B150" s="902" t="s">
        <v>118</v>
      </c>
      <c r="C150" s="896">
        <v>6</v>
      </c>
      <c r="D150" s="937" t="e">
        <f t="shared" ca="1" si="14"/>
        <v>#NAME?</v>
      </c>
      <c r="E150" s="898" t="e">
        <f t="shared" ca="1" si="15"/>
        <v>#NAME?</v>
      </c>
      <c r="G150" s="899" t="s">
        <v>91</v>
      </c>
      <c r="H150" s="906" t="e">
        <f ca="1">D162*2</f>
        <v>#NAME?</v>
      </c>
      <c r="I150" s="938" t="e">
        <f ca="1">$C$8*H150</f>
        <v>#NAME?</v>
      </c>
      <c r="J150" s="906" t="e">
        <f t="shared" ca="1" si="16"/>
        <v>#NAME?</v>
      </c>
      <c r="K150" s="907" t="e">
        <f t="shared" ca="1" si="17"/>
        <v>#NAME?</v>
      </c>
    </row>
    <row r="151" spans="2:11" x14ac:dyDescent="0.2">
      <c r="B151" s="902" t="s">
        <v>119</v>
      </c>
      <c r="C151" s="896">
        <v>4</v>
      </c>
      <c r="D151" s="937" t="e">
        <f t="shared" ca="1" si="14"/>
        <v>#NAME?</v>
      </c>
      <c r="E151" s="898" t="e">
        <f ca="1">(C151/D151)/$H$141</f>
        <v>#NAME?</v>
      </c>
      <c r="G151" s="899" t="s">
        <v>93</v>
      </c>
      <c r="H151" s="906">
        <v>1</v>
      </c>
      <c r="I151" s="938">
        <f>$C$9*H151</f>
        <v>7490</v>
      </c>
      <c r="J151" s="906">
        <f t="shared" si="16"/>
        <v>0</v>
      </c>
      <c r="K151" s="907">
        <f t="shared" si="17"/>
        <v>0</v>
      </c>
    </row>
    <row r="152" spans="2:11" x14ac:dyDescent="0.2">
      <c r="B152" s="902" t="s">
        <v>120</v>
      </c>
      <c r="C152" s="896">
        <v>1</v>
      </c>
      <c r="D152" s="937" t="e">
        <f t="shared" ca="1" si="14"/>
        <v>#NAME?</v>
      </c>
      <c r="E152" s="898" t="e">
        <f ca="1">(C152/D152)/$H$141</f>
        <v>#NAME?</v>
      </c>
      <c r="G152" s="899" t="s">
        <v>95</v>
      </c>
      <c r="H152" s="906">
        <f ca="1">COUNT(D141:D157)</f>
        <v>0</v>
      </c>
      <c r="I152" s="938">
        <f ca="1">$C$10*H152</f>
        <v>0</v>
      </c>
      <c r="J152" s="906">
        <f t="shared" ca="1" si="16"/>
        <v>0</v>
      </c>
      <c r="K152" s="907">
        <f t="shared" ca="1" si="17"/>
        <v>0</v>
      </c>
    </row>
    <row r="153" spans="2:11" x14ac:dyDescent="0.2">
      <c r="B153" s="902" t="s">
        <v>121</v>
      </c>
      <c r="C153" s="896">
        <v>3</v>
      </c>
      <c r="D153" s="937" t="e">
        <f t="shared" ca="1" si="14"/>
        <v>#NAME?</v>
      </c>
      <c r="E153" s="898" t="e">
        <f t="shared" ca="1" si="15"/>
        <v>#NAME?</v>
      </c>
      <c r="G153" s="899" t="s">
        <v>97</v>
      </c>
      <c r="H153" s="906" t="e">
        <f ca="1">D163</f>
        <v>#NAME?</v>
      </c>
      <c r="I153" s="938" t="e">
        <f ca="1">H153*C11</f>
        <v>#NAME?</v>
      </c>
      <c r="J153" s="906" t="e">
        <f t="shared" ca="1" si="16"/>
        <v>#NAME?</v>
      </c>
      <c r="K153" s="907" t="e">
        <f ca="1">J153*C11</f>
        <v>#NAME?</v>
      </c>
    </row>
    <row r="154" spans="2:11" x14ac:dyDescent="0.2">
      <c r="B154" s="902" t="s">
        <v>122</v>
      </c>
      <c r="C154" s="896">
        <v>0.5</v>
      </c>
      <c r="D154" s="937" t="e">
        <f t="shared" ca="1" si="14"/>
        <v>#NAME?</v>
      </c>
      <c r="E154" s="898" t="e">
        <f t="shared" ca="1" si="15"/>
        <v>#NAME?</v>
      </c>
      <c r="G154" s="908" t="s">
        <v>99</v>
      </c>
      <c r="H154" s="909" t="e">
        <f ca="1">D163</f>
        <v>#NAME?</v>
      </c>
      <c r="I154" s="939" t="e">
        <f ca="1">H154*C12</f>
        <v>#NAME?</v>
      </c>
      <c r="J154" s="909" t="e">
        <f t="shared" ca="1" si="16"/>
        <v>#NAME?</v>
      </c>
      <c r="K154" s="910" t="e">
        <f ca="1">J154*C12</f>
        <v>#NAME?</v>
      </c>
    </row>
    <row r="155" spans="2:11" ht="17" thickBot="1" x14ac:dyDescent="0.25">
      <c r="B155" s="902" t="s">
        <v>123</v>
      </c>
      <c r="C155" s="896">
        <v>3</v>
      </c>
      <c r="D155" s="937" t="e">
        <f t="shared" ca="1" si="14"/>
        <v>#NAME?</v>
      </c>
      <c r="E155" s="898" t="e">
        <f t="shared" ca="1" si="15"/>
        <v>#NAME?</v>
      </c>
      <c r="G155" s="2367" t="s">
        <v>124</v>
      </c>
      <c r="H155" s="2368"/>
      <c r="I155" s="2374"/>
      <c r="J155" s="2374"/>
      <c r="K155" s="2370" t="e">
        <f ca="1">SUM(I145:I154)*0.05</f>
        <v>#NAME?</v>
      </c>
    </row>
    <row r="156" spans="2:11" ht="18" thickTop="1" thickBot="1" x14ac:dyDescent="0.25">
      <c r="B156" s="902" t="s">
        <v>125</v>
      </c>
      <c r="C156" s="778">
        <v>0.5</v>
      </c>
      <c r="D156" s="905" t="e">
        <f t="shared" ca="1" si="14"/>
        <v>#NAME?</v>
      </c>
      <c r="E156" s="898" t="e">
        <f t="shared" ca="1" si="15"/>
        <v>#NAME?</v>
      </c>
      <c r="G156" s="911"/>
      <c r="H156" s="912"/>
      <c r="I156" s="914"/>
      <c r="J156" s="1339" t="s">
        <v>126</v>
      </c>
      <c r="K156" s="913" t="e">
        <f ca="1">SUM(K145:K155)</f>
        <v>#NAME?</v>
      </c>
    </row>
    <row r="157" spans="2:11" ht="18" thickTop="1" thickBot="1" x14ac:dyDescent="0.25">
      <c r="B157" s="2003" t="s">
        <v>127</v>
      </c>
      <c r="C157" s="2364">
        <v>1</v>
      </c>
      <c r="D157" s="2365" t="e">
        <f t="shared" ca="1" si="14"/>
        <v>#NAME?</v>
      </c>
      <c r="E157" s="2366" t="e">
        <f t="shared" ca="1" si="15"/>
        <v>#NAME?</v>
      </c>
    </row>
    <row r="158" spans="2:11" ht="18" thickTop="1" thickBot="1" x14ac:dyDescent="0.25">
      <c r="B158" s="1381" t="s">
        <v>128</v>
      </c>
      <c r="C158" s="914"/>
      <c r="D158" s="912" t="e">
        <f ca="1">SUM(D141:D157)</f>
        <v>#NAME?</v>
      </c>
      <c r="E158" s="924" t="e">
        <f ca="1">AVERAGE(E141:E157)</f>
        <v>#NAME?</v>
      </c>
    </row>
    <row r="159" spans="2:11" ht="18" thickTop="1" thickBot="1" x14ac:dyDescent="0.25">
      <c r="B159" s="791"/>
      <c r="C159" s="791"/>
      <c r="E159" s="901"/>
    </row>
    <row r="160" spans="2:11" ht="18" thickTop="1" thickBot="1" x14ac:dyDescent="0.25">
      <c r="B160" s="916" t="s">
        <v>129</v>
      </c>
      <c r="C160" s="917">
        <v>1.5</v>
      </c>
      <c r="D160" s="918" t="e">
        <f ca="1">ROUNDUP(C160/$H$141,0)</f>
        <v>#NAME?</v>
      </c>
      <c r="E160" s="919" t="e">
        <f ca="1">(C160/D160)/H$160</f>
        <v>#NAME?</v>
      </c>
      <c r="G160" s="1564" t="s">
        <v>151</v>
      </c>
      <c r="H160" s="1974" t="e">
        <f ca="1">C160/D160</f>
        <v>#NAME?</v>
      </c>
    </row>
    <row r="161" spans="2:8" ht="17" thickTop="1" x14ac:dyDescent="0.2">
      <c r="B161" s="920" t="s">
        <v>131</v>
      </c>
      <c r="C161" s="921">
        <v>0.1</v>
      </c>
      <c r="D161" s="915" t="e">
        <f ca="1">ROUNDUP(C161/H$140,0)</f>
        <v>#NAME?</v>
      </c>
      <c r="E161" s="922" t="e">
        <f t="shared" ref="E161:E164" ca="1" si="18">(C161/D161)/H$160</f>
        <v>#NAME?</v>
      </c>
      <c r="G161" s="916" t="s">
        <v>132</v>
      </c>
      <c r="H161" s="1970">
        <f>SUM(C161:C164)</f>
        <v>2</v>
      </c>
    </row>
    <row r="162" spans="2:8" x14ac:dyDescent="0.2">
      <c r="B162" s="920" t="s">
        <v>133</v>
      </c>
      <c r="C162" s="921">
        <v>0.4</v>
      </c>
      <c r="D162" s="915" t="e">
        <f ca="1">ROUNDUP(C162/H$140,0)</f>
        <v>#NAME?</v>
      </c>
      <c r="E162" s="922" t="e">
        <f t="shared" ca="1" si="18"/>
        <v>#NAME?</v>
      </c>
      <c r="G162" s="920"/>
      <c r="H162" s="1971"/>
    </row>
    <row r="163" spans="2:8" x14ac:dyDescent="0.2">
      <c r="B163" s="920" t="s">
        <v>134</v>
      </c>
      <c r="C163" s="921">
        <v>1.3</v>
      </c>
      <c r="D163" s="915" t="e">
        <f ca="1">ROUNDUP(C163/H$140,0)</f>
        <v>#NAME?</v>
      </c>
      <c r="E163" s="922" t="e">
        <f t="shared" ca="1" si="18"/>
        <v>#NAME?</v>
      </c>
      <c r="G163" s="1972" t="s">
        <v>135</v>
      </c>
      <c r="H163" s="1971" t="e">
        <f ca="1">ROUNDUP('BASES MODEL (Base Case)'!F$37*('Avg.Weighted Manufacturer Price'!D28+'Avg.Weighted Manufacturer Price'!D29),0)</f>
        <v>#NAME?</v>
      </c>
    </row>
    <row r="164" spans="2:8" ht="17" thickBot="1" x14ac:dyDescent="0.25">
      <c r="B164" s="2004" t="s">
        <v>136</v>
      </c>
      <c r="C164" s="2371">
        <v>0.2</v>
      </c>
      <c r="D164" s="2005" t="e">
        <f ca="1">ROUNDUP(C164/H$140,0)</f>
        <v>#NAME?</v>
      </c>
      <c r="E164" s="2372" t="e">
        <f t="shared" ca="1" si="18"/>
        <v>#NAME?</v>
      </c>
      <c r="G164" s="1972" t="s">
        <v>137</v>
      </c>
      <c r="H164" s="1971" t="e">
        <f ca="1">ROUNDUP(H163/2,0)</f>
        <v>#NAME?</v>
      </c>
    </row>
    <row r="165" spans="2:8" ht="18" thickTop="1" thickBot="1" x14ac:dyDescent="0.25">
      <c r="B165" s="1381" t="s">
        <v>128</v>
      </c>
      <c r="C165" s="914"/>
      <c r="D165" s="912" t="e">
        <f ca="1">SUM(D160:D164)</f>
        <v>#NAME?</v>
      </c>
      <c r="E165" s="924" t="e">
        <f ca="1">AVERAGE(E160:E164)</f>
        <v>#NAME?</v>
      </c>
      <c r="G165" s="1972" t="s">
        <v>138</v>
      </c>
      <c r="H165" s="1971" t="e">
        <f ca="1">ROUNDUP(H164/'General Assumptions'!C$6,0)</f>
        <v>#NAME?</v>
      </c>
    </row>
    <row r="166" spans="2:8" x14ac:dyDescent="0.2">
      <c r="B166" s="791"/>
      <c r="C166" s="791"/>
      <c r="D166" s="915"/>
      <c r="E166" s="901"/>
      <c r="G166" s="911" t="s">
        <v>139</v>
      </c>
      <c r="H166" s="1973" t="e">
        <f ca="1">(H165*H161)/'General Assumptions'!C$10</f>
        <v>#NAME?</v>
      </c>
    </row>
    <row r="167" spans="2:8" x14ac:dyDescent="0.2">
      <c r="B167" s="1519" t="s">
        <v>159</v>
      </c>
      <c r="C167" s="925" t="e">
        <f ca="1">'BASES MODEL (Base Case)'!$F$37</f>
        <v>#NAME?</v>
      </c>
      <c r="D167" s="915"/>
      <c r="E167" s="901"/>
    </row>
    <row r="168" spans="2:8" x14ac:dyDescent="0.2">
      <c r="B168" s="899" t="s">
        <v>141</v>
      </c>
      <c r="C168" s="926" t="e">
        <f ca="1">C167*'General Assumptions'!C13</f>
        <v>#NAME?</v>
      </c>
      <c r="D168" s="915"/>
      <c r="E168" s="901"/>
    </row>
    <row r="169" spans="2:8" x14ac:dyDescent="0.2">
      <c r="B169" s="899" t="s">
        <v>142</v>
      </c>
      <c r="C169" s="954" t="e">
        <f ca="1">C168/'General Assumptions'!C6</f>
        <v>#NAME?</v>
      </c>
      <c r="D169" s="915"/>
      <c r="E169" s="901"/>
    </row>
    <row r="170" spans="2:8" x14ac:dyDescent="0.2">
      <c r="B170" s="899" t="s">
        <v>143</v>
      </c>
      <c r="C170" s="954" t="e">
        <f ca="1">C169/'General Assumptions'!C7</f>
        <v>#NAME?</v>
      </c>
      <c r="D170" s="915"/>
      <c r="E170" s="901"/>
    </row>
    <row r="171" spans="2:8" x14ac:dyDescent="0.2">
      <c r="B171" s="899" t="s">
        <v>144</v>
      </c>
      <c r="C171" s="954" t="e">
        <f ca="1">C170/'General Assumptions'!C10</f>
        <v>#NAME?</v>
      </c>
      <c r="D171" s="915"/>
      <c r="E171" s="901"/>
    </row>
    <row r="172" spans="2:8" x14ac:dyDescent="0.2">
      <c r="B172" s="899" t="s">
        <v>145</v>
      </c>
      <c r="C172" s="954">
        <f>1/3</f>
        <v>0.33333333333333331</v>
      </c>
      <c r="D172" s="915"/>
      <c r="E172" s="901"/>
    </row>
    <row r="173" spans="2:8" x14ac:dyDescent="0.2">
      <c r="B173" s="899"/>
      <c r="C173" s="954"/>
      <c r="D173" s="915"/>
      <c r="E173" s="901"/>
    </row>
    <row r="174" spans="2:8" x14ac:dyDescent="0.2">
      <c r="B174" s="947" t="s">
        <v>146</v>
      </c>
      <c r="C174" s="955">
        <v>1</v>
      </c>
      <c r="D174" s="915"/>
      <c r="E174" s="901"/>
    </row>
    <row r="175" spans="2:8" x14ac:dyDescent="0.2">
      <c r="B175" s="947" t="s">
        <v>147</v>
      </c>
      <c r="C175" s="955" t="e">
        <f ca="1">(C171^2)/((2*C172)*(C172-C171))</f>
        <v>#NAME?</v>
      </c>
      <c r="E175" s="901"/>
    </row>
    <row r="176" spans="2:8" x14ac:dyDescent="0.2">
      <c r="B176" s="903" t="s">
        <v>148</v>
      </c>
      <c r="C176" s="956" t="e">
        <f ca="1">C175/C171</f>
        <v>#NAME?</v>
      </c>
      <c r="D176" s="957"/>
      <c r="E176" s="958"/>
      <c r="F176" s="776"/>
    </row>
    <row r="177" spans="2:11" x14ac:dyDescent="0.2">
      <c r="B177" s="776"/>
      <c r="C177" s="953"/>
      <c r="E177" s="958"/>
      <c r="F177" s="776"/>
    </row>
    <row r="178" spans="2:11" s="1839" customFormat="1" ht="7.5" customHeight="1" x14ac:dyDescent="0.2"/>
    <row r="179" spans="2:11" x14ac:dyDescent="0.2">
      <c r="B179" s="776"/>
      <c r="C179" s="776"/>
      <c r="D179" s="957"/>
      <c r="E179" s="958"/>
      <c r="F179" s="776"/>
    </row>
    <row r="180" spans="2:11" x14ac:dyDescent="0.2">
      <c r="B180" s="2841" t="s">
        <v>75</v>
      </c>
      <c r="C180" s="2842"/>
      <c r="D180" s="2842"/>
      <c r="E180" s="2843"/>
      <c r="G180" s="891" t="s">
        <v>160</v>
      </c>
      <c r="H180" s="1535" t="e">
        <f ca="1">ROUNDUP('Scrap + Defect'!D85,0)</f>
        <v>#NAME?</v>
      </c>
    </row>
    <row r="181" spans="2:11" ht="32" x14ac:dyDescent="0.2">
      <c r="B181" s="933" t="s">
        <v>102</v>
      </c>
      <c r="C181" s="934" t="s">
        <v>103</v>
      </c>
      <c r="D181" s="935" t="s">
        <v>150</v>
      </c>
      <c r="E181" s="936" t="s">
        <v>11</v>
      </c>
      <c r="F181" s="968"/>
      <c r="G181" s="899" t="s">
        <v>105</v>
      </c>
      <c r="H181" s="893" t="e">
        <f ca="1">1/(H180/('General Assumptions'!C6*'General Assumptions'!C7*'General Assumptions'!C10))</f>
        <v>#NAME?</v>
      </c>
    </row>
    <row r="182" spans="2:11" x14ac:dyDescent="0.2">
      <c r="B182" s="895" t="s">
        <v>106</v>
      </c>
      <c r="C182" s="896">
        <v>3</v>
      </c>
      <c r="D182" s="959" t="e">
        <f t="shared" ref="D182:D198" ca="1" si="19">ROUNDUP(C182/H$181,0)</f>
        <v>#NAME?</v>
      </c>
      <c r="E182" s="960" t="e">
        <f ca="1">(C182/D182)/$H$182</f>
        <v>#NAME?</v>
      </c>
      <c r="G182" s="899" t="s">
        <v>151</v>
      </c>
      <c r="H182" s="900" t="e">
        <f ca="1">C191/D191</f>
        <v>#NAME?</v>
      </c>
    </row>
    <row r="183" spans="2:11" x14ac:dyDescent="0.2">
      <c r="B183" s="902" t="s">
        <v>108</v>
      </c>
      <c r="C183" s="896">
        <v>3</v>
      </c>
      <c r="D183" s="959" t="e">
        <f t="shared" ca="1" si="19"/>
        <v>#NAME?</v>
      </c>
      <c r="E183" s="960" t="e">
        <f ca="1">(C183/D183)/$H$182</f>
        <v>#NAME?</v>
      </c>
      <c r="G183" s="903" t="s">
        <v>109</v>
      </c>
      <c r="H183" s="1536" t="e">
        <f ca="1">ROUNDDOWN('General Assumptions'!C$10/H182*'General Assumptions'!C$7*'General Assumptions'!C$9*'General Assumptions'!C$8,0)</f>
        <v>#NAME?</v>
      </c>
    </row>
    <row r="184" spans="2:11" x14ac:dyDescent="0.2">
      <c r="B184" s="895" t="s">
        <v>110</v>
      </c>
      <c r="C184" s="896">
        <v>2</v>
      </c>
      <c r="D184" s="959" t="e">
        <f t="shared" ca="1" si="19"/>
        <v>#NAME?</v>
      </c>
      <c r="E184" s="960" t="e">
        <f t="shared" ref="E184:E198" ca="1" si="20">(C184/D184)/$H$182</f>
        <v>#NAME?</v>
      </c>
    </row>
    <row r="185" spans="2:11" x14ac:dyDescent="0.2">
      <c r="B185" s="902" t="s">
        <v>111</v>
      </c>
      <c r="C185" s="896">
        <v>1</v>
      </c>
      <c r="D185" s="897" t="e">
        <f t="shared" ca="1" si="19"/>
        <v>#NAME?</v>
      </c>
      <c r="E185" s="898" t="e">
        <f t="shared" ca="1" si="20"/>
        <v>#NAME?</v>
      </c>
      <c r="G185" s="1250" t="s">
        <v>78</v>
      </c>
      <c r="H185" s="904" t="s">
        <v>112</v>
      </c>
      <c r="I185" s="1251" t="s">
        <v>79</v>
      </c>
      <c r="J185" s="1251" t="s">
        <v>152</v>
      </c>
      <c r="K185" s="1252" t="s">
        <v>153</v>
      </c>
    </row>
    <row r="186" spans="2:11" x14ac:dyDescent="0.2">
      <c r="B186" s="902" t="s">
        <v>113</v>
      </c>
      <c r="C186" s="896">
        <v>1.8</v>
      </c>
      <c r="D186" s="937" t="e">
        <f t="shared" ca="1" si="19"/>
        <v>#NAME?</v>
      </c>
      <c r="E186" s="898" t="e">
        <f t="shared" ca="1" si="20"/>
        <v>#NAME?</v>
      </c>
      <c r="G186" s="899" t="s">
        <v>81</v>
      </c>
      <c r="H186" s="906" t="e">
        <f ca="1">D191+D192+D194+D196</f>
        <v>#NAME?</v>
      </c>
      <c r="I186" s="938" t="e">
        <f ca="1">$C$3*H186</f>
        <v>#NAME?</v>
      </c>
      <c r="J186" s="906" t="e">
        <f t="shared" ref="J186:J195" ca="1" si="21">H186-H145</f>
        <v>#NAME?</v>
      </c>
      <c r="K186" s="907" t="e">
        <f t="shared" ref="K186:K193" ca="1" si="22">J186*$C3</f>
        <v>#NAME?</v>
      </c>
    </row>
    <row r="187" spans="2:11" x14ac:dyDescent="0.2">
      <c r="B187" s="902" t="s">
        <v>114</v>
      </c>
      <c r="C187" s="896">
        <v>1.8</v>
      </c>
      <c r="D187" s="937" t="e">
        <f t="shared" ca="1" si="19"/>
        <v>#NAME?</v>
      </c>
      <c r="E187" s="898" t="e">
        <f t="shared" ca="1" si="20"/>
        <v>#NAME?</v>
      </c>
      <c r="G187" s="899" t="s">
        <v>83</v>
      </c>
      <c r="H187" s="906" t="e">
        <f ca="1">D186+D187+D188</f>
        <v>#NAME?</v>
      </c>
      <c r="I187" s="938" t="e">
        <f ca="1">$C$4*H187</f>
        <v>#NAME?</v>
      </c>
      <c r="J187" s="906" t="e">
        <f t="shared" ca="1" si="21"/>
        <v>#NAME?</v>
      </c>
      <c r="K187" s="907" t="e">
        <f t="shared" ca="1" si="22"/>
        <v>#NAME?</v>
      </c>
    </row>
    <row r="188" spans="2:11" x14ac:dyDescent="0.2">
      <c r="B188" s="902" t="s">
        <v>115</v>
      </c>
      <c r="C188" s="896">
        <v>1.7</v>
      </c>
      <c r="D188" s="937" t="e">
        <f t="shared" ca="1" si="19"/>
        <v>#NAME?</v>
      </c>
      <c r="E188" s="898" t="e">
        <f t="shared" ca="1" si="20"/>
        <v>#NAME?</v>
      </c>
      <c r="G188" s="899" t="s">
        <v>85</v>
      </c>
      <c r="H188" s="906">
        <f ca="1">COUNT(D186:D189)</f>
        <v>0</v>
      </c>
      <c r="I188" s="938">
        <f ca="1">$C$5*H188</f>
        <v>0</v>
      </c>
      <c r="J188" s="906">
        <f t="shared" ca="1" si="21"/>
        <v>0</v>
      </c>
      <c r="K188" s="907">
        <f t="shared" ca="1" si="22"/>
        <v>0</v>
      </c>
    </row>
    <row r="189" spans="2:11" x14ac:dyDescent="0.2">
      <c r="B189" s="902" t="s">
        <v>116</v>
      </c>
      <c r="C189" s="896">
        <v>1.7</v>
      </c>
      <c r="D189" s="937" t="e">
        <f t="shared" ca="1" si="19"/>
        <v>#NAME?</v>
      </c>
      <c r="E189" s="898" t="e">
        <f t="shared" ca="1" si="20"/>
        <v>#NAME?</v>
      </c>
      <c r="G189" s="899" t="s">
        <v>87</v>
      </c>
      <c r="H189" s="906" t="e">
        <f ca="1">COUNT(D186:D189)+D191+D192+D194+D196</f>
        <v>#NAME?</v>
      </c>
      <c r="I189" s="938" t="e">
        <f ca="1">$C$6*H189</f>
        <v>#NAME?</v>
      </c>
      <c r="J189" s="906" t="e">
        <f t="shared" ca="1" si="21"/>
        <v>#NAME?</v>
      </c>
      <c r="K189" s="907" t="e">
        <f t="shared" ca="1" si="22"/>
        <v>#NAME?</v>
      </c>
    </row>
    <row r="190" spans="2:11" x14ac:dyDescent="0.2">
      <c r="B190" s="902" t="s">
        <v>117</v>
      </c>
      <c r="C190" s="896">
        <v>1</v>
      </c>
      <c r="D190" s="937" t="e">
        <f t="shared" ca="1" si="19"/>
        <v>#NAME?</v>
      </c>
      <c r="E190" s="898" t="e">
        <f t="shared" ca="1" si="20"/>
        <v>#NAME?</v>
      </c>
      <c r="G190" s="899" t="s">
        <v>89</v>
      </c>
      <c r="H190" s="906">
        <f ca="1">COUNT(D186:D197)</f>
        <v>0</v>
      </c>
      <c r="I190" s="938">
        <f ca="1">$C$7*H190</f>
        <v>0</v>
      </c>
      <c r="J190" s="906">
        <f t="shared" ca="1" si="21"/>
        <v>0</v>
      </c>
      <c r="K190" s="907">
        <f t="shared" ca="1" si="22"/>
        <v>0</v>
      </c>
    </row>
    <row r="191" spans="2:11" x14ac:dyDescent="0.2">
      <c r="B191" s="902" t="s">
        <v>118</v>
      </c>
      <c r="C191" s="896">
        <v>6</v>
      </c>
      <c r="D191" s="937" t="e">
        <f t="shared" ca="1" si="19"/>
        <v>#NAME?</v>
      </c>
      <c r="E191" s="898" t="e">
        <f t="shared" ca="1" si="20"/>
        <v>#NAME?</v>
      </c>
      <c r="G191" s="899" t="s">
        <v>91</v>
      </c>
      <c r="H191" s="906" t="e">
        <f ca="1">D204*2</f>
        <v>#NAME?</v>
      </c>
      <c r="I191" s="938" t="e">
        <f ca="1">$C$8*H191</f>
        <v>#NAME?</v>
      </c>
      <c r="J191" s="906" t="e">
        <f t="shared" ca="1" si="21"/>
        <v>#NAME?</v>
      </c>
      <c r="K191" s="907" t="e">
        <f t="shared" ca="1" si="22"/>
        <v>#NAME?</v>
      </c>
    </row>
    <row r="192" spans="2:11" x14ac:dyDescent="0.2">
      <c r="B192" s="902" t="s">
        <v>119</v>
      </c>
      <c r="C192" s="896">
        <v>4</v>
      </c>
      <c r="D192" s="937" t="e">
        <f t="shared" ca="1" si="19"/>
        <v>#NAME?</v>
      </c>
      <c r="E192" s="898" t="e">
        <f t="shared" ca="1" si="20"/>
        <v>#NAME?</v>
      </c>
      <c r="G192" s="899" t="s">
        <v>93</v>
      </c>
      <c r="H192" s="906">
        <v>1</v>
      </c>
      <c r="I192" s="938">
        <f>$C$9*H192</f>
        <v>7490</v>
      </c>
      <c r="J192" s="906">
        <f t="shared" si="21"/>
        <v>0</v>
      </c>
      <c r="K192" s="907">
        <f t="shared" si="22"/>
        <v>0</v>
      </c>
    </row>
    <row r="193" spans="2:11" x14ac:dyDescent="0.2">
      <c r="B193" s="902" t="s">
        <v>120</v>
      </c>
      <c r="C193" s="896">
        <v>1</v>
      </c>
      <c r="D193" s="937" t="e">
        <f t="shared" ca="1" si="19"/>
        <v>#NAME?</v>
      </c>
      <c r="E193" s="898" t="e">
        <f t="shared" ca="1" si="20"/>
        <v>#NAME?</v>
      </c>
      <c r="G193" s="899" t="s">
        <v>95</v>
      </c>
      <c r="H193" s="906">
        <f ca="1">COUNT(D182:D198)</f>
        <v>0</v>
      </c>
      <c r="I193" s="938">
        <f ca="1">$C$10*H193</f>
        <v>0</v>
      </c>
      <c r="J193" s="906">
        <f t="shared" ca="1" si="21"/>
        <v>0</v>
      </c>
      <c r="K193" s="907">
        <f t="shared" ca="1" si="22"/>
        <v>0</v>
      </c>
    </row>
    <row r="194" spans="2:11" x14ac:dyDescent="0.2">
      <c r="B194" s="902" t="s">
        <v>121</v>
      </c>
      <c r="C194" s="896">
        <v>3</v>
      </c>
      <c r="D194" s="937" t="e">
        <f t="shared" ca="1" si="19"/>
        <v>#NAME?</v>
      </c>
      <c r="E194" s="898" t="e">
        <f t="shared" ca="1" si="20"/>
        <v>#NAME?</v>
      </c>
      <c r="G194" s="899" t="s">
        <v>97</v>
      </c>
      <c r="H194" s="906" t="e">
        <f ca="1">D204</f>
        <v>#NAME?</v>
      </c>
      <c r="I194" s="938" t="e">
        <f ca="1">H194*C11</f>
        <v>#NAME?</v>
      </c>
      <c r="J194" s="906" t="e">
        <f t="shared" ca="1" si="21"/>
        <v>#NAME?</v>
      </c>
      <c r="K194" s="907" t="e">
        <f ca="1">J194*C11</f>
        <v>#NAME?</v>
      </c>
    </row>
    <row r="195" spans="2:11" x14ac:dyDescent="0.2">
      <c r="B195" s="902" t="s">
        <v>122</v>
      </c>
      <c r="C195" s="896">
        <v>0.5</v>
      </c>
      <c r="D195" s="937" t="e">
        <f t="shared" ca="1" si="19"/>
        <v>#NAME?</v>
      </c>
      <c r="E195" s="898" t="e">
        <f t="shared" ca="1" si="20"/>
        <v>#NAME?</v>
      </c>
      <c r="G195" s="908" t="s">
        <v>99</v>
      </c>
      <c r="H195" s="909" t="e">
        <f ca="1">D204</f>
        <v>#NAME?</v>
      </c>
      <c r="I195" s="939" t="e">
        <f ca="1">H195*C12</f>
        <v>#NAME?</v>
      </c>
      <c r="J195" s="909" t="e">
        <f t="shared" ca="1" si="21"/>
        <v>#NAME?</v>
      </c>
      <c r="K195" s="910" t="e">
        <f ca="1">J195*C12</f>
        <v>#NAME?</v>
      </c>
    </row>
    <row r="196" spans="2:11" ht="17" thickBot="1" x14ac:dyDescent="0.25">
      <c r="B196" s="902" t="s">
        <v>123</v>
      </c>
      <c r="C196" s="896">
        <v>3</v>
      </c>
      <c r="D196" s="937" t="e">
        <f t="shared" ca="1" si="19"/>
        <v>#NAME?</v>
      </c>
      <c r="E196" s="898" t="e">
        <f t="shared" ca="1" si="20"/>
        <v>#NAME?</v>
      </c>
      <c r="G196" s="2367" t="s">
        <v>124</v>
      </c>
      <c r="H196" s="2368"/>
      <c r="I196" s="2369"/>
      <c r="J196" s="2369"/>
      <c r="K196" s="2370" t="e">
        <f ca="1">SUM(I186:I195)*0.05</f>
        <v>#NAME?</v>
      </c>
    </row>
    <row r="197" spans="2:11" ht="18" thickTop="1" thickBot="1" x14ac:dyDescent="0.25">
      <c r="B197" s="902" t="s">
        <v>125</v>
      </c>
      <c r="C197" s="778">
        <v>0.5</v>
      </c>
      <c r="D197" s="905" t="e">
        <f t="shared" ca="1" si="19"/>
        <v>#NAME?</v>
      </c>
      <c r="E197" s="898" t="e">
        <f t="shared" ca="1" si="20"/>
        <v>#NAME?</v>
      </c>
      <c r="G197" s="911"/>
      <c r="H197" s="912"/>
      <c r="I197" s="914"/>
      <c r="J197" s="1339" t="s">
        <v>126</v>
      </c>
      <c r="K197" s="913" t="e">
        <f ca="1">SUM(K186:K196)</f>
        <v>#NAME?</v>
      </c>
    </row>
    <row r="198" spans="2:11" ht="18" thickTop="1" thickBot="1" x14ac:dyDescent="0.25">
      <c r="B198" s="2003" t="s">
        <v>127</v>
      </c>
      <c r="C198" s="2364">
        <v>1</v>
      </c>
      <c r="D198" s="2365" t="e">
        <f t="shared" ca="1" si="19"/>
        <v>#NAME?</v>
      </c>
      <c r="E198" s="2366" t="e">
        <f t="shared" ca="1" si="20"/>
        <v>#NAME?</v>
      </c>
    </row>
    <row r="199" spans="2:11" ht="18" thickTop="1" thickBot="1" x14ac:dyDescent="0.25">
      <c r="B199" s="1381" t="s">
        <v>128</v>
      </c>
      <c r="C199" s="914"/>
      <c r="D199" s="912" t="e">
        <f ca="1">SUM(D182:D198)</f>
        <v>#NAME?</v>
      </c>
      <c r="E199" s="924" t="e">
        <f ca="1">AVERAGE(E182:E198)</f>
        <v>#NAME?</v>
      </c>
    </row>
    <row r="201" spans="2:11" x14ac:dyDescent="0.2">
      <c r="B201" s="916" t="s">
        <v>129</v>
      </c>
      <c r="C201" s="961">
        <v>1.5</v>
      </c>
      <c r="D201" s="962" t="e">
        <f ca="1">ROUNDUP(C201/H181,0)</f>
        <v>#NAME?</v>
      </c>
      <c r="E201" s="919" t="e">
        <f ca="1">(C201/D201)/H$201</f>
        <v>#NAME?</v>
      </c>
      <c r="G201" s="1564" t="s">
        <v>151</v>
      </c>
      <c r="H201" s="1970" t="e">
        <f ca="1">C201/D201</f>
        <v>#NAME?</v>
      </c>
    </row>
    <row r="202" spans="2:11" x14ac:dyDescent="0.2">
      <c r="B202" s="920" t="s">
        <v>131</v>
      </c>
      <c r="C202" s="786">
        <v>0.1</v>
      </c>
      <c r="D202" s="906" t="e">
        <f ca="1">ROUNDUP(C202/H$181,0)</f>
        <v>#NAME?</v>
      </c>
      <c r="E202" s="922" t="e">
        <f t="shared" ref="E202:E205" ca="1" si="23">(C202/D202)/H$201</f>
        <v>#NAME?</v>
      </c>
      <c r="G202" s="891" t="s">
        <v>132</v>
      </c>
      <c r="H202" s="1970">
        <f>SUM(C202:C205)</f>
        <v>2</v>
      </c>
    </row>
    <row r="203" spans="2:11" x14ac:dyDescent="0.2">
      <c r="B203" s="920" t="s">
        <v>133</v>
      </c>
      <c r="C203" s="786">
        <v>0.4</v>
      </c>
      <c r="D203" s="906" t="e">
        <f ca="1">ROUNDUP(C203/H$181,0)</f>
        <v>#NAME?</v>
      </c>
      <c r="E203" s="922" t="e">
        <f t="shared" ca="1" si="23"/>
        <v>#NAME?</v>
      </c>
      <c r="G203" s="899"/>
      <c r="H203" s="1971"/>
    </row>
    <row r="204" spans="2:11" x14ac:dyDescent="0.2">
      <c r="B204" s="920" t="s">
        <v>134</v>
      </c>
      <c r="C204" s="786">
        <v>1.3</v>
      </c>
      <c r="D204" s="906" t="e">
        <f ca="1">ROUNDUP(C204/H$181,0)</f>
        <v>#NAME?</v>
      </c>
      <c r="E204" s="922" t="e">
        <f t="shared" ca="1" si="23"/>
        <v>#NAME?</v>
      </c>
      <c r="G204" s="2009" t="s">
        <v>135</v>
      </c>
      <c r="H204" s="1971" t="e">
        <f ca="1">ROUNDUP('BASES MODEL (Base Case)'!G$37*('Avg.Weighted Manufacturer Price'!D37+'Avg.Weighted Manufacturer Price'!D38),0)</f>
        <v>#NAME?</v>
      </c>
    </row>
    <row r="205" spans="2:11" ht="17" thickBot="1" x14ac:dyDescent="0.25">
      <c r="B205" s="2004" t="s">
        <v>136</v>
      </c>
      <c r="C205" s="2375">
        <v>0.2</v>
      </c>
      <c r="D205" s="2376" t="e">
        <f ca="1">ROUNDUP(C205/H$181,0)</f>
        <v>#NAME?</v>
      </c>
      <c r="E205" s="2372" t="e">
        <f t="shared" ca="1" si="23"/>
        <v>#NAME?</v>
      </c>
      <c r="G205" s="2009" t="s">
        <v>137</v>
      </c>
      <c r="H205" s="1971" t="e">
        <f ca="1">ROUNDUP(H204/2,0)</f>
        <v>#NAME?</v>
      </c>
    </row>
    <row r="206" spans="2:11" ht="18" thickTop="1" thickBot="1" x14ac:dyDescent="0.25">
      <c r="B206" s="1381" t="s">
        <v>128</v>
      </c>
      <c r="C206" s="914"/>
      <c r="D206" s="912" t="e">
        <f ca="1">SUM(D201:D205)</f>
        <v>#NAME?</v>
      </c>
      <c r="E206" s="924" t="e">
        <f ca="1">AVERAGE(E201:E205)</f>
        <v>#NAME?</v>
      </c>
      <c r="G206" s="2009" t="s">
        <v>138</v>
      </c>
      <c r="H206" s="1971" t="e">
        <f ca="1">ROUNDUP(H205/'General Assumptions'!C$6,0)</f>
        <v>#NAME?</v>
      </c>
    </row>
    <row r="207" spans="2:11" x14ac:dyDescent="0.2">
      <c r="G207" s="1689" t="s">
        <v>139</v>
      </c>
      <c r="H207" s="1973" t="e">
        <f ca="1">(H206*H202)/'General Assumptions'!C$10</f>
        <v>#NAME?</v>
      </c>
    </row>
    <row r="208" spans="2:11" x14ac:dyDescent="0.2">
      <c r="B208" s="1519" t="s">
        <v>161</v>
      </c>
      <c r="C208" s="925" t="e">
        <f ca="1">'BASES MODEL (Base Case)'!$G$37</f>
        <v>#NAME?</v>
      </c>
    </row>
    <row r="209" spans="2:3" x14ac:dyDescent="0.2">
      <c r="B209" s="2034" t="s">
        <v>162</v>
      </c>
      <c r="C209" s="926" t="e">
        <f ca="1">C208*0.05</f>
        <v>#NAME?</v>
      </c>
    </row>
    <row r="210" spans="2:3" x14ac:dyDescent="0.2">
      <c r="B210" s="2035" t="s">
        <v>163</v>
      </c>
      <c r="C210" s="954" t="e">
        <f ca="1">C209/'General Assumptions'!C6</f>
        <v>#NAME?</v>
      </c>
    </row>
    <row r="211" spans="2:3" x14ac:dyDescent="0.2">
      <c r="B211" s="2034" t="s">
        <v>143</v>
      </c>
      <c r="C211" s="954" t="e">
        <f ca="1">C210/'General Assumptions'!C7</f>
        <v>#NAME?</v>
      </c>
    </row>
    <row r="212" spans="2:3" x14ac:dyDescent="0.2">
      <c r="B212" s="2035" t="s">
        <v>164</v>
      </c>
      <c r="C212" s="954" t="e">
        <f ca="1">C211/'General Assumptions'!C10</f>
        <v>#NAME?</v>
      </c>
    </row>
    <row r="213" spans="2:3" x14ac:dyDescent="0.2">
      <c r="B213" s="2034" t="s">
        <v>165</v>
      </c>
      <c r="C213" s="954">
        <f>1/3</f>
        <v>0.33333333333333331</v>
      </c>
    </row>
    <row r="214" spans="2:3" x14ac:dyDescent="0.2">
      <c r="B214" s="2035"/>
      <c r="C214" s="954"/>
    </row>
    <row r="215" spans="2:3" x14ac:dyDescent="0.2">
      <c r="B215" s="2036" t="s">
        <v>146</v>
      </c>
      <c r="C215" s="955">
        <v>1</v>
      </c>
    </row>
    <row r="216" spans="2:3" x14ac:dyDescent="0.2">
      <c r="B216" s="947" t="s">
        <v>147</v>
      </c>
      <c r="C216" s="955" t="e">
        <f ca="1">(C212^2)/((2*C213)*(C213-C212))</f>
        <v>#NAME?</v>
      </c>
    </row>
    <row r="217" spans="2:3" x14ac:dyDescent="0.2">
      <c r="B217" s="903" t="s">
        <v>148</v>
      </c>
      <c r="C217" s="956" t="e">
        <f ca="1">C216/C212</f>
        <v>#NAME?</v>
      </c>
    </row>
    <row r="218" spans="2:3" x14ac:dyDescent="0.2">
      <c r="B218" s="963"/>
      <c r="C218" s="953"/>
    </row>
    <row r="219" spans="2:3" x14ac:dyDescent="0.2">
      <c r="B219" s="964"/>
      <c r="C219" s="894"/>
    </row>
  </sheetData>
  <mergeCells count="5">
    <mergeCell ref="B180:E180"/>
    <mergeCell ref="B139:E139"/>
    <mergeCell ref="B98:E98"/>
    <mergeCell ref="B57:E57"/>
    <mergeCell ref="B16:E16"/>
  </mergeCells>
  <phoneticPr fontId="59" type="noConversion"/>
  <hyperlinks>
    <hyperlink ref="A1" location="index!A1" display="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Q206"/>
  <sheetViews>
    <sheetView showGridLines="0" topLeftCell="M187" zoomScale="103" workbookViewId="0">
      <selection activeCell="R193" sqref="R193"/>
    </sheetView>
  </sheetViews>
  <sheetFormatPr baseColWidth="10" defaultColWidth="10.83203125" defaultRowHeight="16" x14ac:dyDescent="0.2"/>
  <cols>
    <col min="1" max="1" width="7.6640625" style="1772" customWidth="1"/>
    <col min="2" max="2" width="15.5" style="1772" customWidth="1"/>
    <col min="3" max="7" width="11" style="1772" bestFit="1" customWidth="1"/>
    <col min="8" max="10" width="9.5" style="1772" bestFit="1" customWidth="1"/>
    <col min="11" max="11" width="10.1640625" style="1772" bestFit="1" customWidth="1"/>
    <col min="12" max="12" width="9.5" style="1772" bestFit="1" customWidth="1"/>
    <col min="13" max="13" width="10.1640625" style="1772" bestFit="1" customWidth="1"/>
    <col min="14" max="14" width="9.83203125" style="1772" bestFit="1" customWidth="1"/>
    <col min="15" max="15" width="9.5" style="1772" bestFit="1" customWidth="1"/>
    <col min="16" max="16" width="11" style="1772" bestFit="1" customWidth="1"/>
    <col min="17" max="16384" width="10.83203125" style="1772"/>
  </cols>
  <sheetData>
    <row r="1" spans="1:16" x14ac:dyDescent="0.2">
      <c r="A1" s="1771" t="s">
        <v>38</v>
      </c>
    </row>
    <row r="2" spans="1:16" x14ac:dyDescent="0.2">
      <c r="B2" s="2853" t="s">
        <v>166</v>
      </c>
      <c r="C2" s="2854"/>
      <c r="D2" s="2854"/>
      <c r="E2" s="2854"/>
      <c r="F2" s="2854"/>
      <c r="G2" s="2855"/>
    </row>
    <row r="3" spans="1:16" x14ac:dyDescent="0.2">
      <c r="B3" s="1773"/>
      <c r="C3" s="1774" t="s">
        <v>167</v>
      </c>
      <c r="D3" s="1775" t="s">
        <v>168</v>
      </c>
      <c r="E3" s="1775" t="s">
        <v>169</v>
      </c>
      <c r="F3" s="1775" t="s">
        <v>170</v>
      </c>
      <c r="G3" s="1776" t="s">
        <v>171</v>
      </c>
    </row>
    <row r="4" spans="1:16" x14ac:dyDescent="0.2">
      <c r="B4" s="1777" t="s">
        <v>172</v>
      </c>
      <c r="C4" s="1778">
        <v>1644395</v>
      </c>
      <c r="D4" s="1779">
        <v>1419528</v>
      </c>
      <c r="E4" s="1779">
        <v>2335993</v>
      </c>
      <c r="F4" s="1779">
        <v>2133229</v>
      </c>
      <c r="G4" s="1780">
        <f>SUM(C4:F4)</f>
        <v>7533145</v>
      </c>
      <c r="H4" s="1781"/>
      <c r="I4" s="1781"/>
      <c r="J4" s="1781"/>
      <c r="K4" s="1781"/>
      <c r="L4" s="1781"/>
      <c r="M4" s="1781"/>
      <c r="N4" s="1781"/>
    </row>
    <row r="5" spans="1:16" x14ac:dyDescent="0.2">
      <c r="B5" s="1782" t="s">
        <v>173</v>
      </c>
      <c r="C5" s="1783">
        <f>C4/$G4</f>
        <v>0.2182879793233769</v>
      </c>
      <c r="D5" s="1784">
        <f t="shared" ref="D5:G5" si="0">D4/$G4</f>
        <v>0.18843763129476468</v>
      </c>
      <c r="E5" s="1784">
        <f t="shared" si="0"/>
        <v>0.3100953187546503</v>
      </c>
      <c r="F5" s="1784">
        <f t="shared" si="0"/>
        <v>0.28317907062720815</v>
      </c>
      <c r="G5" s="1785">
        <f t="shared" si="0"/>
        <v>1</v>
      </c>
      <c r="H5" s="1781"/>
      <c r="I5" s="1781"/>
      <c r="J5" s="1781"/>
      <c r="K5" s="1781"/>
      <c r="L5" s="1781"/>
      <c r="M5" s="1781"/>
      <c r="N5" s="1781"/>
    </row>
    <row r="6" spans="1:16" x14ac:dyDescent="0.2">
      <c r="B6" s="1781"/>
      <c r="C6" s="1781"/>
      <c r="D6" s="1781"/>
      <c r="E6" s="1781"/>
      <c r="F6" s="1781"/>
      <c r="G6" s="1781"/>
      <c r="H6" s="1781"/>
      <c r="I6" s="1781"/>
      <c r="J6" s="1781"/>
      <c r="K6" s="1781"/>
      <c r="L6" s="1781"/>
      <c r="M6" s="1781"/>
      <c r="N6" s="1781"/>
    </row>
    <row r="7" spans="1:16" x14ac:dyDescent="0.2">
      <c r="B7" s="2856" t="s">
        <v>174</v>
      </c>
      <c r="C7" s="2857"/>
      <c r="D7" s="2857"/>
      <c r="E7" s="2857"/>
      <c r="F7" s="2857"/>
      <c r="G7" s="2857"/>
      <c r="H7" s="2857"/>
      <c r="I7" s="2857"/>
      <c r="J7" s="2857"/>
      <c r="K7" s="2857"/>
      <c r="L7" s="2857"/>
      <c r="M7" s="2857"/>
      <c r="N7" s="2858"/>
      <c r="O7" s="1786"/>
      <c r="P7" s="1786"/>
    </row>
    <row r="8" spans="1:16" x14ac:dyDescent="0.2">
      <c r="B8" s="1787" t="s">
        <v>175</v>
      </c>
      <c r="C8" s="1779" t="s">
        <v>176</v>
      </c>
      <c r="D8" s="1779" t="s">
        <v>177</v>
      </c>
      <c r="E8" s="1779" t="s">
        <v>178</v>
      </c>
      <c r="F8" s="1779" t="s">
        <v>179</v>
      </c>
      <c r="G8" s="1779" t="s">
        <v>180</v>
      </c>
      <c r="H8" s="1779" t="s">
        <v>181</v>
      </c>
      <c r="I8" s="1779" t="s">
        <v>182</v>
      </c>
      <c r="J8" s="1779" t="s">
        <v>183</v>
      </c>
      <c r="K8" s="1779" t="s">
        <v>184</v>
      </c>
      <c r="L8" s="1779" t="s">
        <v>185</v>
      </c>
      <c r="M8" s="1779" t="s">
        <v>186</v>
      </c>
      <c r="N8" s="1780" t="s">
        <v>187</v>
      </c>
    </row>
    <row r="9" spans="1:16" x14ac:dyDescent="0.2">
      <c r="B9" s="1782" t="s">
        <v>173</v>
      </c>
      <c r="C9" s="1784">
        <f>$C5/3</f>
        <v>7.2762659774458963E-2</v>
      </c>
      <c r="D9" s="1784">
        <f t="shared" ref="D9:E9" si="1">$C5/3</f>
        <v>7.2762659774458963E-2</v>
      </c>
      <c r="E9" s="1784">
        <f t="shared" si="1"/>
        <v>7.2762659774458963E-2</v>
      </c>
      <c r="F9" s="1784">
        <f>$D5/3</f>
        <v>6.2812543764921555E-2</v>
      </c>
      <c r="G9" s="1784">
        <f t="shared" ref="G9:H9" si="2">$D5/3</f>
        <v>6.2812543764921555E-2</v>
      </c>
      <c r="H9" s="1784">
        <f t="shared" si="2"/>
        <v>6.2812543764921555E-2</v>
      </c>
      <c r="I9" s="1784">
        <f>$E$5/3</f>
        <v>0.1033651062515501</v>
      </c>
      <c r="J9" s="1784">
        <f t="shared" ref="J9:K9" si="3">$E$5/3</f>
        <v>0.1033651062515501</v>
      </c>
      <c r="K9" s="1784">
        <f t="shared" si="3"/>
        <v>0.1033651062515501</v>
      </c>
      <c r="L9" s="1784">
        <f>$F5/3</f>
        <v>9.4393023542402713E-2</v>
      </c>
      <c r="M9" s="1784">
        <f t="shared" ref="M9:N9" si="4">$F5/3</f>
        <v>9.4393023542402713E-2</v>
      </c>
      <c r="N9" s="1785">
        <f t="shared" si="4"/>
        <v>9.4393023542402713E-2</v>
      </c>
    </row>
    <row r="12" spans="1:16" x14ac:dyDescent="0.2">
      <c r="B12" s="1788" t="s">
        <v>188</v>
      </c>
    </row>
    <row r="13" spans="1:16" x14ac:dyDescent="0.2">
      <c r="B13" s="1789"/>
    </row>
    <row r="14" spans="1:16" ht="16.25" customHeight="1" x14ac:dyDescent="0.2">
      <c r="B14" s="2851" t="s">
        <v>189</v>
      </c>
      <c r="C14" s="2852"/>
      <c r="D14" s="1790" t="e">
        <f ca="1">Capacity!D35</f>
        <v>#NAME?</v>
      </c>
    </row>
    <row r="15" spans="1:16" x14ac:dyDescent="0.2">
      <c r="B15" s="1791"/>
      <c r="C15" s="1791"/>
    </row>
    <row r="16" spans="1:16" x14ac:dyDescent="0.2">
      <c r="B16" s="2859" t="s">
        <v>109</v>
      </c>
      <c r="C16" s="1792" t="s">
        <v>190</v>
      </c>
      <c r="D16" s="1793" t="e">
        <f ca="1">Capacity!H19/12</f>
        <v>#NAME?</v>
      </c>
    </row>
    <row r="17" spans="2:17" x14ac:dyDescent="0.2">
      <c r="B17" s="2860"/>
      <c r="C17" s="1794" t="s">
        <v>191</v>
      </c>
      <c r="D17" s="1795" t="e">
        <f ca="1">D16/4</f>
        <v>#NAME?</v>
      </c>
    </row>
    <row r="19" spans="2:17" x14ac:dyDescent="0.2">
      <c r="B19" s="1796" t="s">
        <v>192</v>
      </c>
      <c r="C19" s="1797"/>
      <c r="D19" s="1798">
        <v>1</v>
      </c>
      <c r="E19" s="1798">
        <v>2</v>
      </c>
      <c r="F19" s="1798">
        <v>3</v>
      </c>
      <c r="G19" s="1798">
        <v>4</v>
      </c>
      <c r="H19" s="1798">
        <v>5</v>
      </c>
      <c r="I19" s="1798">
        <v>6</v>
      </c>
      <c r="J19" s="1798">
        <v>7</v>
      </c>
      <c r="K19" s="1798">
        <v>8</v>
      </c>
      <c r="L19" s="1798">
        <v>9</v>
      </c>
      <c r="M19" s="1798">
        <v>10</v>
      </c>
      <c r="N19" s="1798">
        <v>11</v>
      </c>
      <c r="O19" s="1798">
        <v>12</v>
      </c>
      <c r="P19" s="1799" t="s">
        <v>128</v>
      </c>
    </row>
    <row r="20" spans="2:17" x14ac:dyDescent="0.2">
      <c r="B20" s="1800" t="s">
        <v>193</v>
      </c>
      <c r="C20" s="1801"/>
      <c r="D20" s="1802">
        <v>0</v>
      </c>
      <c r="E20" s="1802">
        <v>0</v>
      </c>
      <c r="F20" s="1802">
        <v>0</v>
      </c>
      <c r="G20" s="1802">
        <v>0</v>
      </c>
      <c r="H20" s="1802">
        <v>0</v>
      </c>
      <c r="I20" s="1802">
        <v>0</v>
      </c>
      <c r="J20" s="1802">
        <v>0</v>
      </c>
      <c r="K20" s="1802">
        <v>0</v>
      </c>
      <c r="L20" s="1802">
        <v>0</v>
      </c>
      <c r="M20" s="1802">
        <v>0</v>
      </c>
      <c r="N20" s="1802">
        <v>0</v>
      </c>
      <c r="O20" s="1802">
        <v>0</v>
      </c>
      <c r="P20" s="1803">
        <v>10000</v>
      </c>
      <c r="Q20" s="1804"/>
    </row>
    <row r="21" spans="2:17" x14ac:dyDescent="0.2">
      <c r="B21" s="1805" t="s">
        <v>194</v>
      </c>
      <c r="C21" s="1806"/>
      <c r="D21" s="1807"/>
      <c r="E21" s="1808"/>
      <c r="F21" s="1808"/>
      <c r="G21" s="1808"/>
      <c r="H21" s="1808"/>
      <c r="I21" s="1808"/>
      <c r="J21" s="1808"/>
      <c r="K21" s="1808"/>
      <c r="L21" s="1808"/>
      <c r="M21" s="1808"/>
      <c r="N21" s="1808"/>
      <c r="O21" s="1809"/>
      <c r="P21" s="1810"/>
      <c r="Q21" s="1811"/>
    </row>
    <row r="22" spans="2:17" x14ac:dyDescent="0.2">
      <c r="B22" s="1812" t="s">
        <v>195</v>
      </c>
      <c r="C22" s="1806"/>
      <c r="D22" s="1813">
        <v>0</v>
      </c>
      <c r="E22" s="1813">
        <v>0</v>
      </c>
      <c r="F22" s="1813">
        <v>0</v>
      </c>
      <c r="G22" s="1813">
        <v>0</v>
      </c>
      <c r="H22" s="1813">
        <v>0</v>
      </c>
      <c r="I22" s="1813">
        <v>0</v>
      </c>
      <c r="J22" s="1813">
        <v>0</v>
      </c>
      <c r="K22" s="1813">
        <v>0</v>
      </c>
      <c r="L22" s="1813">
        <v>0</v>
      </c>
      <c r="M22" s="1813">
        <v>0</v>
      </c>
      <c r="N22" s="1813" t="e">
        <f ca="1">D16</f>
        <v>#NAME?</v>
      </c>
      <c r="O22" s="1813" t="e">
        <f ca="1">D16</f>
        <v>#NAME?</v>
      </c>
      <c r="P22" s="1810"/>
      <c r="Q22" s="1811"/>
    </row>
    <row r="23" spans="2:17" x14ac:dyDescent="0.2">
      <c r="B23" s="1805" t="s">
        <v>196</v>
      </c>
      <c r="C23" s="1806"/>
      <c r="D23" s="1814"/>
      <c r="E23" s="1814">
        <v>0</v>
      </c>
      <c r="F23" s="1814">
        <v>0</v>
      </c>
      <c r="G23" s="1814">
        <v>0</v>
      </c>
      <c r="H23" s="1814">
        <v>0</v>
      </c>
      <c r="I23" s="1814">
        <v>0</v>
      </c>
      <c r="J23" s="1814"/>
      <c r="K23" s="1814"/>
      <c r="L23" s="1814"/>
      <c r="M23" s="1814"/>
      <c r="N23" s="1814"/>
      <c r="O23" s="1814"/>
      <c r="P23" s="1810">
        <f>SUM(D23:O23)</f>
        <v>0</v>
      </c>
      <c r="Q23" s="1811"/>
    </row>
    <row r="24" spans="2:17" x14ac:dyDescent="0.2">
      <c r="B24" s="1805" t="s">
        <v>197</v>
      </c>
      <c r="C24" s="1806"/>
      <c r="D24" s="1814">
        <v>0</v>
      </c>
      <c r="E24" s="1814">
        <v>0</v>
      </c>
      <c r="F24" s="1814">
        <v>0</v>
      </c>
      <c r="G24" s="1814">
        <v>0</v>
      </c>
      <c r="H24" s="1814">
        <v>0</v>
      </c>
      <c r="I24" s="1814">
        <v>0</v>
      </c>
      <c r="J24" s="1814">
        <v>0</v>
      </c>
      <c r="K24" s="1814">
        <v>0</v>
      </c>
      <c r="L24" s="1814"/>
      <c r="M24" s="1814">
        <v>0</v>
      </c>
      <c r="N24" s="1814">
        <v>0</v>
      </c>
      <c r="O24" s="1814"/>
      <c r="P24" s="1810">
        <f>SUM(D24:O24)</f>
        <v>0</v>
      </c>
    </row>
    <row r="25" spans="2:17" x14ac:dyDescent="0.2">
      <c r="B25" s="1805" t="s">
        <v>198</v>
      </c>
      <c r="C25" s="1806"/>
      <c r="D25" s="1814">
        <v>0</v>
      </c>
      <c r="E25" s="1814">
        <v>0</v>
      </c>
      <c r="F25" s="1814">
        <v>0</v>
      </c>
      <c r="G25" s="1814">
        <v>0</v>
      </c>
      <c r="H25" s="1814">
        <v>0</v>
      </c>
      <c r="I25" s="1814">
        <v>0</v>
      </c>
      <c r="J25" s="1814">
        <v>0</v>
      </c>
      <c r="K25" s="1814">
        <v>0</v>
      </c>
      <c r="L25" s="1814">
        <v>0</v>
      </c>
      <c r="M25" s="1814">
        <v>0</v>
      </c>
      <c r="N25" s="1814">
        <v>0</v>
      </c>
      <c r="O25" s="1814">
        <v>0</v>
      </c>
      <c r="P25" s="1810">
        <f>SUM(D25:O25)</f>
        <v>0</v>
      </c>
    </row>
    <row r="26" spans="2:17" x14ac:dyDescent="0.2">
      <c r="B26" s="1812" t="s">
        <v>199</v>
      </c>
      <c r="C26" s="1806"/>
      <c r="D26" s="1807">
        <f t="shared" ref="D26:O26" si="5">SUM(D22:D25)-D20</f>
        <v>0</v>
      </c>
      <c r="E26" s="1808">
        <f t="shared" si="5"/>
        <v>0</v>
      </c>
      <c r="F26" s="1808">
        <f t="shared" si="5"/>
        <v>0</v>
      </c>
      <c r="G26" s="1808">
        <f t="shared" si="5"/>
        <v>0</v>
      </c>
      <c r="H26" s="1808">
        <f t="shared" si="5"/>
        <v>0</v>
      </c>
      <c r="I26" s="1808">
        <f t="shared" si="5"/>
        <v>0</v>
      </c>
      <c r="J26" s="1808">
        <f t="shared" si="5"/>
        <v>0</v>
      </c>
      <c r="K26" s="1808">
        <f t="shared" si="5"/>
        <v>0</v>
      </c>
      <c r="L26" s="1808">
        <f t="shared" si="5"/>
        <v>0</v>
      </c>
      <c r="M26" s="1808">
        <f t="shared" si="5"/>
        <v>0</v>
      </c>
      <c r="N26" s="1808" t="e">
        <f t="shared" ca="1" si="5"/>
        <v>#NAME?</v>
      </c>
      <c r="O26" s="1809" t="e">
        <f t="shared" ca="1" si="5"/>
        <v>#NAME?</v>
      </c>
      <c r="P26" s="1810">
        <f>SUM(P22:P25)-P20</f>
        <v>-10000</v>
      </c>
    </row>
    <row r="27" spans="2:17" x14ac:dyDescent="0.2">
      <c r="B27" s="1805" t="s">
        <v>13</v>
      </c>
      <c r="C27" s="1806"/>
      <c r="D27" s="1807"/>
      <c r="E27" s="1808"/>
      <c r="F27" s="1808"/>
      <c r="G27" s="1808"/>
      <c r="H27" s="1808"/>
      <c r="I27" s="1808"/>
      <c r="J27" s="1808"/>
      <c r="K27" s="1808"/>
      <c r="L27" s="1808"/>
      <c r="M27" s="1808"/>
      <c r="N27" s="1808"/>
      <c r="O27" s="1809"/>
      <c r="P27" s="1810"/>
    </row>
    <row r="28" spans="2:17" x14ac:dyDescent="0.2">
      <c r="B28" s="1805" t="s">
        <v>200</v>
      </c>
      <c r="C28" s="1806"/>
      <c r="D28" s="1808">
        <v>0</v>
      </c>
      <c r="E28" s="1808">
        <f>D29</f>
        <v>0</v>
      </c>
      <c r="F28" s="1808">
        <f t="shared" ref="F28:O28" si="6">E29</f>
        <v>0</v>
      </c>
      <c r="G28" s="1808">
        <f t="shared" si="6"/>
        <v>0</v>
      </c>
      <c r="H28" s="1808">
        <f t="shared" si="6"/>
        <v>0</v>
      </c>
      <c r="I28" s="1808">
        <f t="shared" si="6"/>
        <v>0</v>
      </c>
      <c r="J28" s="1808">
        <f t="shared" si="6"/>
        <v>0</v>
      </c>
      <c r="K28" s="1808">
        <f t="shared" si="6"/>
        <v>0</v>
      </c>
      <c r="L28" s="1808">
        <f t="shared" si="6"/>
        <v>0</v>
      </c>
      <c r="M28" s="1808">
        <f t="shared" si="6"/>
        <v>0</v>
      </c>
      <c r="N28" s="1808">
        <f t="shared" si="6"/>
        <v>0</v>
      </c>
      <c r="O28" s="1808" t="e">
        <f t="shared" ca="1" si="6"/>
        <v>#NAME?</v>
      </c>
      <c r="P28" s="1810" t="e">
        <f ca="1">O29</f>
        <v>#NAME?</v>
      </c>
    </row>
    <row r="29" spans="2:17" x14ac:dyDescent="0.2">
      <c r="B29" s="1805" t="s">
        <v>201</v>
      </c>
      <c r="C29" s="1815">
        <f>P20</f>
        <v>10000</v>
      </c>
      <c r="D29" s="1808">
        <f>MAX(D28+D26-C31,0)</f>
        <v>0</v>
      </c>
      <c r="E29" s="1808">
        <f>MAX(E28+E26-D31,0)</f>
        <v>0</v>
      </c>
      <c r="F29" s="1808">
        <f t="shared" ref="F29:O29" si="7">MAX(F28+F26-E31,0)</f>
        <v>0</v>
      </c>
      <c r="G29" s="1808">
        <f t="shared" si="7"/>
        <v>0</v>
      </c>
      <c r="H29" s="1808">
        <f t="shared" si="7"/>
        <v>0</v>
      </c>
      <c r="I29" s="1808">
        <f t="shared" si="7"/>
        <v>0</v>
      </c>
      <c r="J29" s="1808">
        <f t="shared" si="7"/>
        <v>0</v>
      </c>
      <c r="K29" s="1808">
        <f t="shared" si="7"/>
        <v>0</v>
      </c>
      <c r="L29" s="1808">
        <f t="shared" si="7"/>
        <v>0</v>
      </c>
      <c r="M29" s="1808">
        <f t="shared" si="7"/>
        <v>0</v>
      </c>
      <c r="N29" s="1808" t="e">
        <f t="shared" ca="1" si="7"/>
        <v>#NAME?</v>
      </c>
      <c r="O29" s="1808" t="e">
        <f t="shared" ca="1" si="7"/>
        <v>#NAME?</v>
      </c>
      <c r="P29" s="1810"/>
    </row>
    <row r="30" spans="2:17" x14ac:dyDescent="0.2">
      <c r="B30" s="1805" t="s">
        <v>202</v>
      </c>
      <c r="C30" s="1806"/>
      <c r="D30" s="1807">
        <f>(D28+D29)/2</f>
        <v>0</v>
      </c>
      <c r="E30" s="1808">
        <f t="shared" ref="E30:O30" si="8">(E28+E29)/2</f>
        <v>0</v>
      </c>
      <c r="F30" s="1808">
        <f t="shared" si="8"/>
        <v>0</v>
      </c>
      <c r="G30" s="1808">
        <f t="shared" si="8"/>
        <v>0</v>
      </c>
      <c r="H30" s="1808">
        <f t="shared" si="8"/>
        <v>0</v>
      </c>
      <c r="I30" s="1808">
        <f t="shared" si="8"/>
        <v>0</v>
      </c>
      <c r="J30" s="1808">
        <f t="shared" si="8"/>
        <v>0</v>
      </c>
      <c r="K30" s="1808">
        <f t="shared" si="8"/>
        <v>0</v>
      </c>
      <c r="L30" s="1808">
        <f t="shared" si="8"/>
        <v>0</v>
      </c>
      <c r="M30" s="1808">
        <f t="shared" si="8"/>
        <v>0</v>
      </c>
      <c r="N30" s="1816" t="e">
        <f t="shared" ca="1" si="8"/>
        <v>#NAME?</v>
      </c>
      <c r="O30" s="1809" t="e">
        <f t="shared" ca="1" si="8"/>
        <v>#NAME?</v>
      </c>
      <c r="P30" s="1810" t="e">
        <f ca="1">(P28+P29)/2</f>
        <v>#NAME?</v>
      </c>
    </row>
    <row r="31" spans="2:17" x14ac:dyDescent="0.2">
      <c r="B31" s="1817" t="s">
        <v>203</v>
      </c>
      <c r="C31" s="1818"/>
      <c r="D31" s="1808">
        <v>0</v>
      </c>
      <c r="E31" s="1808">
        <f>MAX(D31-E26-E28,0)</f>
        <v>0</v>
      </c>
      <c r="F31" s="1808">
        <f t="shared" ref="F31:O31" si="9">MAX(E31-F26-F28,0)</f>
        <v>0</v>
      </c>
      <c r="G31" s="1808">
        <f t="shared" si="9"/>
        <v>0</v>
      </c>
      <c r="H31" s="1808">
        <f t="shared" si="9"/>
        <v>0</v>
      </c>
      <c r="I31" s="1808">
        <f t="shared" si="9"/>
        <v>0</v>
      </c>
      <c r="J31" s="1808">
        <f t="shared" si="9"/>
        <v>0</v>
      </c>
      <c r="K31" s="1808">
        <f t="shared" si="9"/>
        <v>0</v>
      </c>
      <c r="L31" s="1808">
        <f t="shared" si="9"/>
        <v>0</v>
      </c>
      <c r="M31" s="1808">
        <f t="shared" si="9"/>
        <v>0</v>
      </c>
      <c r="N31" s="1808" t="e">
        <f t="shared" ca="1" si="9"/>
        <v>#NAME?</v>
      </c>
      <c r="O31" s="1808" t="e">
        <f t="shared" ca="1" si="9"/>
        <v>#NAME?</v>
      </c>
      <c r="P31" s="1819" t="e">
        <f ca="1">SUM(D31:O31)</f>
        <v>#NAME?</v>
      </c>
    </row>
    <row r="32" spans="2:17" x14ac:dyDescent="0.2">
      <c r="B32" s="1812" t="s">
        <v>204</v>
      </c>
      <c r="C32" s="1820"/>
      <c r="D32" s="1821"/>
      <c r="E32" s="1822"/>
      <c r="F32" s="1822"/>
      <c r="G32" s="1822"/>
      <c r="H32" s="1822"/>
      <c r="I32" s="1822"/>
      <c r="J32" s="1822"/>
      <c r="K32" s="1822"/>
      <c r="L32" s="1822"/>
      <c r="M32" s="1822"/>
      <c r="N32" s="1822"/>
      <c r="O32" s="1823"/>
      <c r="P32" s="1824"/>
    </row>
    <row r="33" spans="2:16" x14ac:dyDescent="0.2">
      <c r="B33" s="1812" t="s">
        <v>205</v>
      </c>
      <c r="C33" s="1825" t="e">
        <f ca="1">C66</f>
        <v>#NAME?</v>
      </c>
      <c r="D33" s="1826" t="e">
        <f ca="1">D22*$C33</f>
        <v>#NAME?</v>
      </c>
      <c r="E33" s="1827" t="e">
        <f t="shared" ref="E33:O36" ca="1" si="10">E22*$C33</f>
        <v>#NAME?</v>
      </c>
      <c r="F33" s="1827" t="e">
        <f t="shared" ca="1" si="10"/>
        <v>#NAME?</v>
      </c>
      <c r="G33" s="1827" t="e">
        <f ca="1">G22*$C33</f>
        <v>#NAME?</v>
      </c>
      <c r="H33" s="1827" t="e">
        <f t="shared" ca="1" si="10"/>
        <v>#NAME?</v>
      </c>
      <c r="I33" s="1827" t="e">
        <f t="shared" ca="1" si="10"/>
        <v>#NAME?</v>
      </c>
      <c r="J33" s="1827" t="e">
        <f t="shared" ca="1" si="10"/>
        <v>#NAME?</v>
      </c>
      <c r="K33" s="1827" t="e">
        <f t="shared" ca="1" si="10"/>
        <v>#NAME?</v>
      </c>
      <c r="L33" s="1827" t="e">
        <f t="shared" ca="1" si="10"/>
        <v>#NAME?</v>
      </c>
      <c r="M33" s="1827" t="e">
        <f t="shared" ca="1" si="10"/>
        <v>#NAME?</v>
      </c>
      <c r="N33" s="1827" t="e">
        <f t="shared" ca="1" si="10"/>
        <v>#NAME?</v>
      </c>
      <c r="O33" s="1828" t="e">
        <f t="shared" ca="1" si="10"/>
        <v>#NAME?</v>
      </c>
      <c r="P33" s="1828" t="e">
        <f t="shared" ref="P33:P38" ca="1" si="11">SUM(D33:O33)</f>
        <v>#NAME?</v>
      </c>
    </row>
    <row r="34" spans="2:16" x14ac:dyDescent="0.2">
      <c r="B34" s="1812" t="s">
        <v>206</v>
      </c>
      <c r="C34" s="1829" t="e">
        <f ca="1">C33*1.73</f>
        <v>#NAME?</v>
      </c>
      <c r="D34" s="1826" t="e">
        <f ca="1">D23*$C34</f>
        <v>#NAME?</v>
      </c>
      <c r="E34" s="1827" t="e">
        <f t="shared" ca="1" si="10"/>
        <v>#NAME?</v>
      </c>
      <c r="F34" s="1827" t="e">
        <f t="shared" ca="1" si="10"/>
        <v>#NAME?</v>
      </c>
      <c r="G34" s="1827" t="e">
        <f t="shared" ca="1" si="10"/>
        <v>#NAME?</v>
      </c>
      <c r="H34" s="1827" t="e">
        <f t="shared" ca="1" si="10"/>
        <v>#NAME?</v>
      </c>
      <c r="I34" s="1827" t="e">
        <f t="shared" ca="1" si="10"/>
        <v>#NAME?</v>
      </c>
      <c r="J34" s="1827" t="e">
        <f t="shared" ca="1" si="10"/>
        <v>#NAME?</v>
      </c>
      <c r="K34" s="1827" t="e">
        <f t="shared" ca="1" si="10"/>
        <v>#NAME?</v>
      </c>
      <c r="L34" s="1827" t="e">
        <f t="shared" ca="1" si="10"/>
        <v>#NAME?</v>
      </c>
      <c r="M34" s="1827" t="e">
        <f t="shared" ca="1" si="10"/>
        <v>#NAME?</v>
      </c>
      <c r="N34" s="1827" t="e">
        <f t="shared" ca="1" si="10"/>
        <v>#NAME?</v>
      </c>
      <c r="O34" s="1828" t="e">
        <f t="shared" ca="1" si="10"/>
        <v>#NAME?</v>
      </c>
      <c r="P34" s="1828" t="e">
        <f t="shared" ca="1" si="11"/>
        <v>#NAME?</v>
      </c>
    </row>
    <row r="35" spans="2:16" x14ac:dyDescent="0.2">
      <c r="B35" s="1812" t="s">
        <v>207</v>
      </c>
      <c r="C35" s="1829" t="e">
        <f ca="1">C33*1.5</f>
        <v>#NAME?</v>
      </c>
      <c r="D35" s="1826" t="e">
        <f ca="1">D24*$C35</f>
        <v>#NAME?</v>
      </c>
      <c r="E35" s="1827" t="e">
        <f t="shared" ca="1" si="10"/>
        <v>#NAME?</v>
      </c>
      <c r="F35" s="1827" t="e">
        <f t="shared" ca="1" si="10"/>
        <v>#NAME?</v>
      </c>
      <c r="G35" s="1827" t="e">
        <f t="shared" ca="1" si="10"/>
        <v>#NAME?</v>
      </c>
      <c r="H35" s="1827" t="e">
        <f t="shared" ca="1" si="10"/>
        <v>#NAME?</v>
      </c>
      <c r="I35" s="1827" t="e">
        <f t="shared" ca="1" si="10"/>
        <v>#NAME?</v>
      </c>
      <c r="J35" s="1827" t="e">
        <f t="shared" ca="1" si="10"/>
        <v>#NAME?</v>
      </c>
      <c r="K35" s="1827" t="e">
        <f t="shared" ca="1" si="10"/>
        <v>#NAME?</v>
      </c>
      <c r="L35" s="1827" t="e">
        <f t="shared" ca="1" si="10"/>
        <v>#NAME?</v>
      </c>
      <c r="M35" s="1827" t="e">
        <f t="shared" ca="1" si="10"/>
        <v>#NAME?</v>
      </c>
      <c r="N35" s="1827" t="e">
        <f t="shared" ca="1" si="10"/>
        <v>#NAME?</v>
      </c>
      <c r="O35" s="1828" t="e">
        <f t="shared" ca="1" si="10"/>
        <v>#NAME?</v>
      </c>
      <c r="P35" s="1828" t="e">
        <f t="shared" ca="1" si="11"/>
        <v>#NAME?</v>
      </c>
    </row>
    <row r="36" spans="2:16" x14ac:dyDescent="0.2">
      <c r="B36" s="1812" t="s">
        <v>208</v>
      </c>
      <c r="C36" s="1829" t="e">
        <f ca="1">C33*2</f>
        <v>#NAME?</v>
      </c>
      <c r="D36" s="1826" t="e">
        <f ca="1">D25*$C36</f>
        <v>#NAME?</v>
      </c>
      <c r="E36" s="1827" t="e">
        <f t="shared" ca="1" si="10"/>
        <v>#NAME?</v>
      </c>
      <c r="F36" s="1827" t="e">
        <f t="shared" ca="1" si="10"/>
        <v>#NAME?</v>
      </c>
      <c r="G36" s="1827" t="e">
        <f t="shared" ca="1" si="10"/>
        <v>#NAME?</v>
      </c>
      <c r="H36" s="1827" t="e">
        <f t="shared" ca="1" si="10"/>
        <v>#NAME?</v>
      </c>
      <c r="I36" s="1827" t="e">
        <f t="shared" ca="1" si="10"/>
        <v>#NAME?</v>
      </c>
      <c r="J36" s="1827" t="e">
        <f t="shared" ca="1" si="10"/>
        <v>#NAME?</v>
      </c>
      <c r="K36" s="1827" t="e">
        <f t="shared" ca="1" si="10"/>
        <v>#NAME?</v>
      </c>
      <c r="L36" s="1827" t="e">
        <f t="shared" ca="1" si="10"/>
        <v>#NAME?</v>
      </c>
      <c r="M36" s="1827" t="e">
        <f t="shared" ca="1" si="10"/>
        <v>#NAME?</v>
      </c>
      <c r="N36" s="1827" t="e">
        <f t="shared" ca="1" si="10"/>
        <v>#NAME?</v>
      </c>
      <c r="O36" s="1828" t="e">
        <f t="shared" ca="1" si="10"/>
        <v>#NAME?</v>
      </c>
      <c r="P36" s="1828" t="e">
        <f t="shared" ca="1" si="11"/>
        <v>#NAME?</v>
      </c>
    </row>
    <row r="37" spans="2:16" x14ac:dyDescent="0.2">
      <c r="B37" s="1812" t="s">
        <v>209</v>
      </c>
      <c r="C37" s="1829"/>
      <c r="D37" s="1826">
        <f t="shared" ref="D37:O38" si="12">D30*$C37</f>
        <v>0</v>
      </c>
      <c r="E37" s="1827">
        <f t="shared" si="12"/>
        <v>0</v>
      </c>
      <c r="F37" s="1827">
        <f>F30*$C37</f>
        <v>0</v>
      </c>
      <c r="G37" s="1827">
        <f t="shared" si="12"/>
        <v>0</v>
      </c>
      <c r="H37" s="1827">
        <f t="shared" si="12"/>
        <v>0</v>
      </c>
      <c r="I37" s="1827">
        <f t="shared" si="12"/>
        <v>0</v>
      </c>
      <c r="J37" s="1827">
        <f t="shared" si="12"/>
        <v>0</v>
      </c>
      <c r="K37" s="1827">
        <f t="shared" si="12"/>
        <v>0</v>
      </c>
      <c r="L37" s="1827">
        <f t="shared" si="12"/>
        <v>0</v>
      </c>
      <c r="M37" s="1827">
        <f t="shared" si="12"/>
        <v>0</v>
      </c>
      <c r="N37" s="1827" t="e">
        <f t="shared" ca="1" si="12"/>
        <v>#NAME?</v>
      </c>
      <c r="O37" s="1828" t="e">
        <f t="shared" ca="1" si="12"/>
        <v>#NAME?</v>
      </c>
      <c r="P37" s="1828" t="e">
        <f t="shared" ca="1" si="11"/>
        <v>#NAME?</v>
      </c>
    </row>
    <row r="38" spans="2:16" x14ac:dyDescent="0.2">
      <c r="B38" s="1812" t="s">
        <v>210</v>
      </c>
      <c r="C38" s="1830">
        <v>0</v>
      </c>
      <c r="D38" s="1826">
        <f>D31*$C38</f>
        <v>0</v>
      </c>
      <c r="E38" s="1827">
        <f t="shared" si="12"/>
        <v>0</v>
      </c>
      <c r="F38" s="1827">
        <f t="shared" si="12"/>
        <v>0</v>
      </c>
      <c r="G38" s="1827">
        <f t="shared" si="12"/>
        <v>0</v>
      </c>
      <c r="H38" s="1827">
        <f t="shared" si="12"/>
        <v>0</v>
      </c>
      <c r="I38" s="1827">
        <f t="shared" si="12"/>
        <v>0</v>
      </c>
      <c r="J38" s="1827">
        <f t="shared" si="12"/>
        <v>0</v>
      </c>
      <c r="K38" s="1827">
        <f t="shared" si="12"/>
        <v>0</v>
      </c>
      <c r="L38" s="1827">
        <f t="shared" si="12"/>
        <v>0</v>
      </c>
      <c r="M38" s="1827">
        <f t="shared" si="12"/>
        <v>0</v>
      </c>
      <c r="N38" s="1827" t="e">
        <f t="shared" ca="1" si="12"/>
        <v>#NAME?</v>
      </c>
      <c r="O38" s="1828" t="e">
        <f t="shared" ca="1" si="12"/>
        <v>#NAME?</v>
      </c>
      <c r="P38" s="1828" t="e">
        <f t="shared" ca="1" si="11"/>
        <v>#NAME?</v>
      </c>
    </row>
    <row r="39" spans="2:16" x14ac:dyDescent="0.2">
      <c r="B39" s="1812" t="s">
        <v>211</v>
      </c>
      <c r="C39" s="1831"/>
      <c r="D39" s="1832">
        <v>0</v>
      </c>
      <c r="E39" s="1832">
        <v>0</v>
      </c>
      <c r="F39" s="1832">
        <v>0</v>
      </c>
      <c r="G39" s="1832">
        <v>0</v>
      </c>
      <c r="H39" s="1832">
        <v>0</v>
      </c>
      <c r="I39" s="1832">
        <v>0</v>
      </c>
      <c r="J39" s="1832">
        <v>0</v>
      </c>
      <c r="K39" s="1832">
        <v>0</v>
      </c>
      <c r="L39" s="1832">
        <v>0</v>
      </c>
      <c r="M39" s="1832">
        <v>0</v>
      </c>
      <c r="N39" s="1832">
        <v>0</v>
      </c>
      <c r="O39" s="1832">
        <v>0</v>
      </c>
      <c r="P39" s="1828">
        <f>SUM(D39:O39)</f>
        <v>0</v>
      </c>
    </row>
    <row r="40" spans="2:16" x14ac:dyDescent="0.2">
      <c r="B40" s="1833" t="s">
        <v>128</v>
      </c>
      <c r="C40" s="1834"/>
      <c r="D40" s="1835" t="e">
        <f t="shared" ref="D40:P40" ca="1" si="13">SUM(D33:D39)</f>
        <v>#NAME?</v>
      </c>
      <c r="E40" s="1836" t="e">
        <f t="shared" ca="1" si="13"/>
        <v>#NAME?</v>
      </c>
      <c r="F40" s="1836" t="e">
        <f t="shared" ca="1" si="13"/>
        <v>#NAME?</v>
      </c>
      <c r="G40" s="1836" t="e">
        <f ca="1">SUM(G33:G39)</f>
        <v>#NAME?</v>
      </c>
      <c r="H40" s="1836" t="e">
        <f t="shared" ca="1" si="13"/>
        <v>#NAME?</v>
      </c>
      <c r="I40" s="1836" t="e">
        <f t="shared" ca="1" si="13"/>
        <v>#NAME?</v>
      </c>
      <c r="J40" s="1836" t="e">
        <f t="shared" ca="1" si="13"/>
        <v>#NAME?</v>
      </c>
      <c r="K40" s="1836" t="e">
        <f t="shared" ca="1" si="13"/>
        <v>#NAME?</v>
      </c>
      <c r="L40" s="1836" t="e">
        <f t="shared" ca="1" si="13"/>
        <v>#NAME?</v>
      </c>
      <c r="M40" s="1836" t="e">
        <f t="shared" ca="1" si="13"/>
        <v>#NAME?</v>
      </c>
      <c r="N40" s="1836" t="e">
        <f t="shared" ca="1" si="13"/>
        <v>#NAME?</v>
      </c>
      <c r="O40" s="1837" t="e">
        <f t="shared" ca="1" si="13"/>
        <v>#NAME?</v>
      </c>
      <c r="P40" s="1838" t="e">
        <f t="shared" ca="1" si="13"/>
        <v>#NAME?</v>
      </c>
    </row>
    <row r="43" spans="2:16" s="1839" customFormat="1" ht="3" customHeight="1" x14ac:dyDescent="0.2"/>
    <row r="45" spans="2:16" x14ac:dyDescent="0.2">
      <c r="B45" s="1840" t="s">
        <v>71</v>
      </c>
    </row>
    <row r="47" spans="2:16" x14ac:dyDescent="0.2">
      <c r="B47" s="2851" t="s">
        <v>189</v>
      </c>
      <c r="C47" s="2852"/>
      <c r="D47" s="1841" t="e">
        <f ca="1">Capacity!D35</f>
        <v>#NAME?</v>
      </c>
    </row>
    <row r="49" spans="2:16" ht="17" customHeight="1" x14ac:dyDescent="0.2">
      <c r="B49" s="2861" t="s">
        <v>109</v>
      </c>
      <c r="C49" s="1792" t="s">
        <v>190</v>
      </c>
      <c r="D49" s="1842" t="e">
        <f ca="1">ROUNDDOWN(D16,0)</f>
        <v>#NAME?</v>
      </c>
    </row>
    <row r="50" spans="2:16" x14ac:dyDescent="0.2">
      <c r="B50" s="2862"/>
      <c r="C50" s="1794" t="s">
        <v>191</v>
      </c>
      <c r="D50" s="1843" t="e">
        <f ca="1">ROUNDDOWN(D49/4,0)</f>
        <v>#NAME?</v>
      </c>
    </row>
    <row r="52" spans="2:16" x14ac:dyDescent="0.2">
      <c r="B52" s="1796" t="s">
        <v>192</v>
      </c>
      <c r="C52" s="1797"/>
      <c r="D52" s="1798">
        <v>1</v>
      </c>
      <c r="E52" s="1798">
        <v>2</v>
      </c>
      <c r="F52" s="1798">
        <v>3</v>
      </c>
      <c r="G52" s="1798">
        <v>4</v>
      </c>
      <c r="H52" s="1798">
        <v>5</v>
      </c>
      <c r="I52" s="1798">
        <v>6</v>
      </c>
      <c r="J52" s="1798">
        <v>7</v>
      </c>
      <c r="K52" s="1798">
        <v>8</v>
      </c>
      <c r="L52" s="1798">
        <v>9</v>
      </c>
      <c r="M52" s="1798">
        <v>10</v>
      </c>
      <c r="N52" s="1798">
        <v>11</v>
      </c>
      <c r="O52" s="1798">
        <v>12</v>
      </c>
      <c r="P52" s="1799" t="s">
        <v>128</v>
      </c>
    </row>
    <row r="53" spans="2:16" ht="15.75" customHeight="1" x14ac:dyDescent="0.2">
      <c r="B53" s="1800" t="s">
        <v>193</v>
      </c>
      <c r="C53" s="1801"/>
      <c r="D53" s="1802" t="e">
        <f t="shared" ref="D53:O53" ca="1" si="14">$P53*C9</f>
        <v>#NAME?</v>
      </c>
      <c r="E53" s="1802" t="e">
        <f t="shared" ca="1" si="14"/>
        <v>#NAME?</v>
      </c>
      <c r="F53" s="1802" t="e">
        <f t="shared" ca="1" si="14"/>
        <v>#NAME?</v>
      </c>
      <c r="G53" s="1802" t="e">
        <f t="shared" ca="1" si="14"/>
        <v>#NAME?</v>
      </c>
      <c r="H53" s="1802" t="e">
        <f t="shared" ca="1" si="14"/>
        <v>#NAME?</v>
      </c>
      <c r="I53" s="1802" t="e">
        <f t="shared" ca="1" si="14"/>
        <v>#NAME?</v>
      </c>
      <c r="J53" s="1802" t="e">
        <f t="shared" ca="1" si="14"/>
        <v>#NAME?</v>
      </c>
      <c r="K53" s="1802" t="e">
        <f t="shared" ca="1" si="14"/>
        <v>#NAME?</v>
      </c>
      <c r="L53" s="1802" t="e">
        <f t="shared" ca="1" si="14"/>
        <v>#NAME?</v>
      </c>
      <c r="M53" s="1802" t="e">
        <f t="shared" ca="1" si="14"/>
        <v>#NAME?</v>
      </c>
      <c r="N53" s="1802" t="e">
        <f t="shared" ca="1" si="14"/>
        <v>#NAME?</v>
      </c>
      <c r="O53" s="1802" t="e">
        <f t="shared" ca="1" si="14"/>
        <v>#NAME?</v>
      </c>
      <c r="P53" s="1844" t="e">
        <f ca="1">('BASES MODEL (Base Case)'!C37+Inventory!F35)-P20</f>
        <v>#NAME?</v>
      </c>
    </row>
    <row r="54" spans="2:16" x14ac:dyDescent="0.2">
      <c r="B54" s="1805" t="s">
        <v>194</v>
      </c>
      <c r="C54" s="1806"/>
      <c r="D54" s="1807"/>
      <c r="E54" s="1808"/>
      <c r="F54" s="1808"/>
      <c r="G54" s="1808"/>
      <c r="H54" s="1808"/>
      <c r="I54" s="1808"/>
      <c r="J54" s="1808"/>
      <c r="K54" s="1808"/>
      <c r="L54" s="1808"/>
      <c r="M54" s="1808"/>
      <c r="N54" s="1808"/>
      <c r="O54" s="1809"/>
      <c r="P54" s="1810"/>
    </row>
    <row r="55" spans="2:16" ht="15.75" customHeight="1" x14ac:dyDescent="0.2">
      <c r="B55" s="1812" t="s">
        <v>195</v>
      </c>
      <c r="C55" s="1806"/>
      <c r="D55" s="1813" t="e">
        <f ca="1">D53</f>
        <v>#NAME?</v>
      </c>
      <c r="E55" s="1813" t="e">
        <f t="shared" ref="E55:O55" ca="1" si="15">E53</f>
        <v>#NAME?</v>
      </c>
      <c r="F55" s="1813" t="e">
        <f t="shared" ca="1" si="15"/>
        <v>#NAME?</v>
      </c>
      <c r="G55" s="1813" t="e">
        <f t="shared" ca="1" si="15"/>
        <v>#NAME?</v>
      </c>
      <c r="H55" s="1813" t="e">
        <f t="shared" ca="1" si="15"/>
        <v>#NAME?</v>
      </c>
      <c r="I55" s="1845" t="e">
        <f ca="1">I53+640+13+15</f>
        <v>#NAME?</v>
      </c>
      <c r="J55" s="1813" t="e">
        <f ca="1">D49</f>
        <v>#NAME?</v>
      </c>
      <c r="K55" s="1813" t="e">
        <f ca="1">D49</f>
        <v>#NAME?</v>
      </c>
      <c r="L55" s="1813" t="e">
        <f ca="1">D49</f>
        <v>#NAME?</v>
      </c>
      <c r="M55" s="1813" t="e">
        <f t="shared" ca="1" si="15"/>
        <v>#NAME?</v>
      </c>
      <c r="N55" s="1813" t="e">
        <f t="shared" ca="1" si="15"/>
        <v>#NAME?</v>
      </c>
      <c r="O55" s="1813" t="e">
        <f t="shared" ca="1" si="15"/>
        <v>#NAME?</v>
      </c>
      <c r="P55" s="1810" t="e">
        <f ca="1">SUM(D55:O55)</f>
        <v>#NAME?</v>
      </c>
    </row>
    <row r="56" spans="2:16" x14ac:dyDescent="0.2">
      <c r="B56" s="1805" t="s">
        <v>196</v>
      </c>
      <c r="C56" s="1806"/>
      <c r="D56" s="1814"/>
      <c r="E56" s="1814">
        <v>0</v>
      </c>
      <c r="F56" s="1814">
        <v>0</v>
      </c>
      <c r="G56" s="1814">
        <v>0</v>
      </c>
      <c r="H56" s="1814">
        <v>0</v>
      </c>
      <c r="I56" s="1814"/>
      <c r="J56" s="1814">
        <v>0</v>
      </c>
      <c r="K56" s="1814">
        <v>0</v>
      </c>
      <c r="L56" s="1814">
        <v>0</v>
      </c>
      <c r="M56" s="1814" t="e">
        <f t="shared" ref="M56:O56" ca="1" si="16">M53-M55</f>
        <v>#NAME?</v>
      </c>
      <c r="N56" s="1814" t="e">
        <f t="shared" ca="1" si="16"/>
        <v>#NAME?</v>
      </c>
      <c r="O56" s="1814" t="e">
        <f t="shared" ca="1" si="16"/>
        <v>#NAME?</v>
      </c>
      <c r="P56" s="1810" t="e">
        <f ca="1">SUM(D56:O56)</f>
        <v>#NAME?</v>
      </c>
    </row>
    <row r="57" spans="2:16" x14ac:dyDescent="0.2">
      <c r="B57" s="1805" t="s">
        <v>197</v>
      </c>
      <c r="C57" s="1806"/>
      <c r="D57" s="1814">
        <v>0</v>
      </c>
      <c r="E57" s="1814">
        <v>0</v>
      </c>
      <c r="F57" s="1814">
        <v>0</v>
      </c>
      <c r="G57" s="1814">
        <v>0</v>
      </c>
      <c r="H57" s="1814">
        <v>0</v>
      </c>
      <c r="I57" s="1814">
        <v>0</v>
      </c>
      <c r="J57" s="1814">
        <v>0</v>
      </c>
      <c r="K57" s="1814">
        <v>0</v>
      </c>
      <c r="L57" s="1814"/>
      <c r="M57" s="1814">
        <v>0</v>
      </c>
      <c r="N57" s="1814">
        <v>0</v>
      </c>
      <c r="O57" s="1814"/>
      <c r="P57" s="1810">
        <f>SUM(D57:O57)</f>
        <v>0</v>
      </c>
    </row>
    <row r="58" spans="2:16" x14ac:dyDescent="0.2">
      <c r="B58" s="1805" t="s">
        <v>198</v>
      </c>
      <c r="C58" s="1806"/>
      <c r="D58" s="1814">
        <v>0</v>
      </c>
      <c r="E58" s="1814">
        <v>0</v>
      </c>
      <c r="F58" s="1814">
        <v>0</v>
      </c>
      <c r="G58" s="1814">
        <v>0</v>
      </c>
      <c r="H58" s="1814">
        <v>0</v>
      </c>
      <c r="I58" s="1814">
        <v>0</v>
      </c>
      <c r="J58" s="1814">
        <v>0</v>
      </c>
      <c r="K58" s="1814">
        <v>0</v>
      </c>
      <c r="L58" s="1814">
        <v>0</v>
      </c>
      <c r="M58" s="1814">
        <v>0</v>
      </c>
      <c r="N58" s="1814">
        <v>0</v>
      </c>
      <c r="O58" s="1814">
        <v>0</v>
      </c>
      <c r="P58" s="1810">
        <f>SUM(D58:O58)</f>
        <v>0</v>
      </c>
    </row>
    <row r="59" spans="2:16" x14ac:dyDescent="0.2">
      <c r="B59" s="1812" t="s">
        <v>199</v>
      </c>
      <c r="C59" s="1806"/>
      <c r="D59" s="1807" t="e">
        <f t="shared" ref="D59" ca="1" si="17">SUM(D55:D58)-D53</f>
        <v>#NAME?</v>
      </c>
      <c r="E59" s="1808" t="e">
        <f t="shared" ref="E59" ca="1" si="18">SUM(E55:E58)-E53</f>
        <v>#NAME?</v>
      </c>
      <c r="F59" s="1808" t="e">
        <f t="shared" ref="F59" ca="1" si="19">SUM(F55:F58)-F53</f>
        <v>#NAME?</v>
      </c>
      <c r="G59" s="1808" t="e">
        <f t="shared" ref="G59" ca="1" si="20">SUM(G55:G58)-G53</f>
        <v>#NAME?</v>
      </c>
      <c r="H59" s="1808" t="e">
        <f t="shared" ref="H59" ca="1" si="21">SUM(H55:H58)-H53</f>
        <v>#NAME?</v>
      </c>
      <c r="I59" s="1808" t="e">
        <f t="shared" ref="I59" ca="1" si="22">SUM(I55:I58)-I53</f>
        <v>#NAME?</v>
      </c>
      <c r="J59" s="1808" t="e">
        <f t="shared" ref="J59" ca="1" si="23">SUM(J55:J58)-J53</f>
        <v>#NAME?</v>
      </c>
      <c r="K59" s="1808" t="e">
        <f t="shared" ref="K59" ca="1" si="24">SUM(K55:K58)-K53</f>
        <v>#NAME?</v>
      </c>
      <c r="L59" s="1808" t="e">
        <f t="shared" ref="L59" ca="1" si="25">SUM(L55:L58)-L53</f>
        <v>#NAME?</v>
      </c>
      <c r="M59" s="1808" t="e">
        <f t="shared" ref="M59" ca="1" si="26">SUM(M55:M58)-M53</f>
        <v>#NAME?</v>
      </c>
      <c r="N59" s="1808" t="e">
        <f t="shared" ref="N59" ca="1" si="27">SUM(N55:N58)-N53</f>
        <v>#NAME?</v>
      </c>
      <c r="O59" s="1809" t="e">
        <f t="shared" ref="O59" ca="1" si="28">SUM(O55:O58)-O53</f>
        <v>#NAME?</v>
      </c>
      <c r="P59" s="1810" t="e">
        <f ca="1">SUM(D59:O59)</f>
        <v>#NAME?</v>
      </c>
    </row>
    <row r="60" spans="2:16" x14ac:dyDescent="0.2">
      <c r="B60" s="1805" t="s">
        <v>13</v>
      </c>
      <c r="C60" s="1806"/>
      <c r="D60" s="1807"/>
      <c r="E60" s="1808"/>
      <c r="F60" s="1808"/>
      <c r="G60" s="1808"/>
      <c r="H60" s="1808"/>
      <c r="I60" s="1808"/>
      <c r="J60" s="1808"/>
      <c r="K60" s="1808"/>
      <c r="L60" s="1808"/>
      <c r="M60" s="1808"/>
      <c r="N60" s="1808"/>
      <c r="O60" s="1809"/>
      <c r="P60" s="1810"/>
    </row>
    <row r="61" spans="2:16" x14ac:dyDescent="0.2">
      <c r="B61" s="1805" t="s">
        <v>200</v>
      </c>
      <c r="C61" s="1806"/>
      <c r="D61" s="1808">
        <f>C62</f>
        <v>0</v>
      </c>
      <c r="E61" s="1808" t="e">
        <f ca="1">D62</f>
        <v>#NAME?</v>
      </c>
      <c r="F61" s="1808" t="e">
        <f t="shared" ref="F61" ca="1" si="29">E62</f>
        <v>#NAME?</v>
      </c>
      <c r="G61" s="1808" t="e">
        <f t="shared" ref="G61" ca="1" si="30">F62</f>
        <v>#NAME?</v>
      </c>
      <c r="H61" s="1808" t="e">
        <f t="shared" ref="H61" ca="1" si="31">G62</f>
        <v>#NAME?</v>
      </c>
      <c r="I61" s="1808" t="e">
        <f t="shared" ref="I61" ca="1" si="32">H62</f>
        <v>#NAME?</v>
      </c>
      <c r="J61" s="1808" t="e">
        <f t="shared" ref="J61" ca="1" si="33">I62</f>
        <v>#NAME?</v>
      </c>
      <c r="K61" s="1808" t="e">
        <f t="shared" ref="K61" ca="1" si="34">J62</f>
        <v>#NAME?</v>
      </c>
      <c r="L61" s="1808" t="e">
        <f t="shared" ref="L61" ca="1" si="35">K62</f>
        <v>#NAME?</v>
      </c>
      <c r="M61" s="1808" t="e">
        <f t="shared" ref="M61" ca="1" si="36">L62</f>
        <v>#NAME?</v>
      </c>
      <c r="N61" s="1808" t="e">
        <f t="shared" ref="N61" ca="1" si="37">M62</f>
        <v>#NAME?</v>
      </c>
      <c r="O61" s="1808" t="e">
        <f t="shared" ref="O61" ca="1" si="38">N62</f>
        <v>#NAME?</v>
      </c>
      <c r="P61" s="1810"/>
    </row>
    <row r="62" spans="2:16" x14ac:dyDescent="0.2">
      <c r="B62" s="1805" t="s">
        <v>201</v>
      </c>
      <c r="C62" s="1846"/>
      <c r="D62" s="1808" t="e">
        <f ca="1">MAX(D61+D59-C64,0)</f>
        <v>#NAME?</v>
      </c>
      <c r="E62" s="1808" t="e">
        <f ca="1">MAX(E61+E59-D64,0)</f>
        <v>#NAME?</v>
      </c>
      <c r="F62" s="1808" t="e">
        <f t="shared" ref="F62" ca="1" si="39">MAX(F61+F59-E64,0)</f>
        <v>#NAME?</v>
      </c>
      <c r="G62" s="1808" t="e">
        <f t="shared" ref="G62" ca="1" si="40">MAX(G61+G59-F64,0)</f>
        <v>#NAME?</v>
      </c>
      <c r="H62" s="1808" t="e">
        <f t="shared" ref="H62" ca="1" si="41">MAX(H61+H59-G64,0)</f>
        <v>#NAME?</v>
      </c>
      <c r="I62" s="1808" t="e">
        <f t="shared" ref="I62" ca="1" si="42">MAX(I61+I59-H64,0)</f>
        <v>#NAME?</v>
      </c>
      <c r="J62" s="1808" t="e">
        <f t="shared" ref="J62" ca="1" si="43">MAX(J61+J59-I64,0)</f>
        <v>#NAME?</v>
      </c>
      <c r="K62" s="1808" t="e">
        <f t="shared" ref="K62" ca="1" si="44">MAX(K61+K59-J64,0)</f>
        <v>#NAME?</v>
      </c>
      <c r="L62" s="1808" t="e">
        <f t="shared" ref="L62" ca="1" si="45">MAX(L61+L59-K64,0)</f>
        <v>#NAME?</v>
      </c>
      <c r="M62" s="1808" t="e">
        <f t="shared" ref="M62" ca="1" si="46">MAX(M61+M59-L64,0)</f>
        <v>#NAME?</v>
      </c>
      <c r="N62" s="1808" t="e">
        <f t="shared" ref="N62" ca="1" si="47">MAX(N61+N59-M64,0)</f>
        <v>#NAME?</v>
      </c>
      <c r="O62" s="1808" t="e">
        <f t="shared" ref="O62" ca="1" si="48">MAX(O61+O59-N64,0)</f>
        <v>#NAME?</v>
      </c>
      <c r="P62" s="1810"/>
    </row>
    <row r="63" spans="2:16" x14ac:dyDescent="0.2">
      <c r="B63" s="1805" t="s">
        <v>202</v>
      </c>
      <c r="C63" s="1806"/>
      <c r="D63" s="1807" t="e">
        <f ca="1">(D61+D62)/2</f>
        <v>#NAME?</v>
      </c>
      <c r="E63" s="1808" t="e">
        <f t="shared" ref="E63:O63" ca="1" si="49">(E61+E62)/2</f>
        <v>#NAME?</v>
      </c>
      <c r="F63" s="1808" t="e">
        <f t="shared" ca="1" si="49"/>
        <v>#NAME?</v>
      </c>
      <c r="G63" s="1808" t="e">
        <f t="shared" ca="1" si="49"/>
        <v>#NAME?</v>
      </c>
      <c r="H63" s="1808" t="e">
        <f t="shared" ca="1" si="49"/>
        <v>#NAME?</v>
      </c>
      <c r="I63" s="1808" t="e">
        <f t="shared" ca="1" si="49"/>
        <v>#NAME?</v>
      </c>
      <c r="J63" s="1808" t="e">
        <f t="shared" ca="1" si="49"/>
        <v>#NAME?</v>
      </c>
      <c r="K63" s="1808" t="e">
        <f t="shared" ca="1" si="49"/>
        <v>#NAME?</v>
      </c>
      <c r="L63" s="1808" t="e">
        <f t="shared" ca="1" si="49"/>
        <v>#NAME?</v>
      </c>
      <c r="M63" s="1808" t="e">
        <f t="shared" ca="1" si="49"/>
        <v>#NAME?</v>
      </c>
      <c r="N63" s="1816" t="e">
        <f t="shared" ca="1" si="49"/>
        <v>#NAME?</v>
      </c>
      <c r="O63" s="1809" t="e">
        <f t="shared" ca="1" si="49"/>
        <v>#NAME?</v>
      </c>
      <c r="P63" s="1810" t="e">
        <f ca="1">AVERAGE(D63:O63)</f>
        <v>#NAME?</v>
      </c>
    </row>
    <row r="64" spans="2:16" x14ac:dyDescent="0.2">
      <c r="B64" s="1817" t="s">
        <v>203</v>
      </c>
      <c r="C64" s="1818"/>
      <c r="D64" s="1808">
        <v>0</v>
      </c>
      <c r="E64" s="1808" t="e">
        <f ca="1">MAX(D64-E59-E61,0)</f>
        <v>#NAME?</v>
      </c>
      <c r="F64" s="1808" t="e">
        <f t="shared" ref="F64" ca="1" si="50">MAX(E64-F59-F61,0)</f>
        <v>#NAME?</v>
      </c>
      <c r="G64" s="1808" t="e">
        <f t="shared" ref="G64" ca="1" si="51">MAX(F64-G59-G61,0)</f>
        <v>#NAME?</v>
      </c>
      <c r="H64" s="1808" t="e">
        <f t="shared" ref="H64" ca="1" si="52">MAX(G64-H59-H61,0)</f>
        <v>#NAME?</v>
      </c>
      <c r="I64" s="1808" t="e">
        <f t="shared" ref="I64" ca="1" si="53">MAX(H64-I59-I61,0)</f>
        <v>#NAME?</v>
      </c>
      <c r="J64" s="1808" t="e">
        <f t="shared" ref="J64" ca="1" si="54">MAX(I64-J59-J61,0)</f>
        <v>#NAME?</v>
      </c>
      <c r="K64" s="1808" t="e">
        <f t="shared" ref="K64" ca="1" si="55">MAX(J64-K59-K61,0)</f>
        <v>#NAME?</v>
      </c>
      <c r="L64" s="1808" t="e">
        <f t="shared" ref="L64" ca="1" si="56">MAX(K64-L59-L61,0)</f>
        <v>#NAME?</v>
      </c>
      <c r="M64" s="1808" t="e">
        <f t="shared" ref="M64" ca="1" si="57">MAX(L64-M59-M61,0)</f>
        <v>#NAME?</v>
      </c>
      <c r="N64" s="1808" t="e">
        <f t="shared" ref="N64" ca="1" si="58">MAX(M64-N59-N61,0)</f>
        <v>#NAME?</v>
      </c>
      <c r="O64" s="1808" t="e">
        <f t="shared" ref="O64" ca="1" si="59">MAX(N64-O59-O61,0)</f>
        <v>#NAME?</v>
      </c>
      <c r="P64" s="1819" t="e">
        <f ca="1">SUM(D64:O64)</f>
        <v>#NAME?</v>
      </c>
    </row>
    <row r="65" spans="1:17" x14ac:dyDescent="0.2">
      <c r="B65" s="1812" t="s">
        <v>204</v>
      </c>
      <c r="C65" s="1820"/>
      <c r="D65" s="1821"/>
      <c r="E65" s="1822"/>
      <c r="F65" s="1822"/>
      <c r="G65" s="1822"/>
      <c r="H65" s="1822"/>
      <c r="I65" s="1822"/>
      <c r="J65" s="1822"/>
      <c r="K65" s="1822"/>
      <c r="L65" s="1822"/>
      <c r="M65" s="1822"/>
      <c r="N65" s="1822"/>
      <c r="O65" s="1823"/>
      <c r="P65" s="1824"/>
    </row>
    <row r="66" spans="1:17" x14ac:dyDescent="0.2">
      <c r="B66" s="1812" t="s">
        <v>205</v>
      </c>
      <c r="C66" s="1847" t="e">
        <f ca="1">Salaries!G52/P53</f>
        <v>#NAME?</v>
      </c>
      <c r="D66" s="1826" t="e">
        <f ca="1">D55*$C66</f>
        <v>#NAME?</v>
      </c>
      <c r="E66" s="1827" t="e">
        <f t="shared" ref="E66:O66" ca="1" si="60">E55*$C66</f>
        <v>#NAME?</v>
      </c>
      <c r="F66" s="1827" t="e">
        <f t="shared" ca="1" si="60"/>
        <v>#NAME?</v>
      </c>
      <c r="G66" s="1827" t="e">
        <f t="shared" ca="1" si="60"/>
        <v>#NAME?</v>
      </c>
      <c r="H66" s="1827" t="e">
        <f t="shared" ca="1" si="60"/>
        <v>#NAME?</v>
      </c>
      <c r="I66" s="1827" t="e">
        <f t="shared" ca="1" si="60"/>
        <v>#NAME?</v>
      </c>
      <c r="J66" s="1827" t="e">
        <f t="shared" ca="1" si="60"/>
        <v>#NAME?</v>
      </c>
      <c r="K66" s="1827" t="e">
        <f t="shared" ca="1" si="60"/>
        <v>#NAME?</v>
      </c>
      <c r="L66" s="1827" t="e">
        <f t="shared" ca="1" si="60"/>
        <v>#NAME?</v>
      </c>
      <c r="M66" s="1827" t="e">
        <f t="shared" ca="1" si="60"/>
        <v>#NAME?</v>
      </c>
      <c r="N66" s="1827" t="e">
        <f t="shared" ca="1" si="60"/>
        <v>#NAME?</v>
      </c>
      <c r="O66" s="1828" t="e">
        <f t="shared" ca="1" si="60"/>
        <v>#NAME?</v>
      </c>
      <c r="P66" s="1828" t="e">
        <f t="shared" ref="P66:P71" ca="1" si="61">SUM(D66:O66)</f>
        <v>#NAME?</v>
      </c>
    </row>
    <row r="67" spans="1:17" x14ac:dyDescent="0.2">
      <c r="B67" s="1812" t="s">
        <v>206</v>
      </c>
      <c r="C67" s="1848" t="e">
        <f ca="1">C66*1.73</f>
        <v>#NAME?</v>
      </c>
      <c r="D67" s="1826" t="e">
        <f ca="1">D56*$C67</f>
        <v>#NAME?</v>
      </c>
      <c r="E67" s="1827" t="e">
        <f t="shared" ref="E67:O67" ca="1" si="62">E56*$C67</f>
        <v>#NAME?</v>
      </c>
      <c r="F67" s="1827" t="e">
        <f t="shared" ca="1" si="62"/>
        <v>#NAME?</v>
      </c>
      <c r="G67" s="1827" t="e">
        <f t="shared" ca="1" si="62"/>
        <v>#NAME?</v>
      </c>
      <c r="H67" s="1827" t="e">
        <f t="shared" ca="1" si="62"/>
        <v>#NAME?</v>
      </c>
      <c r="I67" s="1827" t="e">
        <f t="shared" ca="1" si="62"/>
        <v>#NAME?</v>
      </c>
      <c r="J67" s="1827" t="e">
        <f t="shared" ca="1" si="62"/>
        <v>#NAME?</v>
      </c>
      <c r="K67" s="1827" t="e">
        <f t="shared" ca="1" si="62"/>
        <v>#NAME?</v>
      </c>
      <c r="L67" s="1827" t="e">
        <f t="shared" ca="1" si="62"/>
        <v>#NAME?</v>
      </c>
      <c r="M67" s="1827" t="e">
        <f t="shared" ca="1" si="62"/>
        <v>#NAME?</v>
      </c>
      <c r="N67" s="1827" t="e">
        <f t="shared" ca="1" si="62"/>
        <v>#NAME?</v>
      </c>
      <c r="O67" s="1828" t="e">
        <f t="shared" ca="1" si="62"/>
        <v>#NAME?</v>
      </c>
      <c r="P67" s="1828" t="e">
        <f t="shared" ca="1" si="61"/>
        <v>#NAME?</v>
      </c>
    </row>
    <row r="68" spans="1:17" ht="3" customHeight="1" x14ac:dyDescent="0.2">
      <c r="B68" s="1812" t="s">
        <v>207</v>
      </c>
      <c r="C68" s="1848" t="e">
        <f ca="1">C66*1.5</f>
        <v>#NAME?</v>
      </c>
      <c r="D68" s="1826" t="e">
        <f ca="1">D57*$C68</f>
        <v>#NAME?</v>
      </c>
      <c r="E68" s="1827" t="e">
        <f t="shared" ref="E68:O68" ca="1" si="63">E57*$C68</f>
        <v>#NAME?</v>
      </c>
      <c r="F68" s="1827" t="e">
        <f t="shared" ca="1" si="63"/>
        <v>#NAME?</v>
      </c>
      <c r="G68" s="1827" t="e">
        <f t="shared" ca="1" si="63"/>
        <v>#NAME?</v>
      </c>
      <c r="H68" s="1827" t="e">
        <f t="shared" ca="1" si="63"/>
        <v>#NAME?</v>
      </c>
      <c r="I68" s="1827" t="e">
        <f t="shared" ca="1" si="63"/>
        <v>#NAME?</v>
      </c>
      <c r="J68" s="1827" t="e">
        <f t="shared" ca="1" si="63"/>
        <v>#NAME?</v>
      </c>
      <c r="K68" s="1827" t="e">
        <f t="shared" ca="1" si="63"/>
        <v>#NAME?</v>
      </c>
      <c r="L68" s="1827" t="e">
        <f t="shared" ca="1" si="63"/>
        <v>#NAME?</v>
      </c>
      <c r="M68" s="1827" t="e">
        <f t="shared" ca="1" si="63"/>
        <v>#NAME?</v>
      </c>
      <c r="N68" s="1827" t="e">
        <f t="shared" ca="1" si="63"/>
        <v>#NAME?</v>
      </c>
      <c r="O68" s="1828" t="e">
        <f t="shared" ca="1" si="63"/>
        <v>#NAME?</v>
      </c>
      <c r="P68" s="1828" t="e">
        <f t="shared" ca="1" si="61"/>
        <v>#NAME?</v>
      </c>
    </row>
    <row r="69" spans="1:17" x14ac:dyDescent="0.2">
      <c r="B69" s="1812" t="s">
        <v>208</v>
      </c>
      <c r="C69" s="1848" t="e">
        <f ca="1">C66*2</f>
        <v>#NAME?</v>
      </c>
      <c r="D69" s="1826" t="e">
        <f ca="1">D58*$C69</f>
        <v>#NAME?</v>
      </c>
      <c r="E69" s="1827" t="e">
        <f t="shared" ref="E69:O69" ca="1" si="64">E58*$C69</f>
        <v>#NAME?</v>
      </c>
      <c r="F69" s="1827" t="e">
        <f t="shared" ca="1" si="64"/>
        <v>#NAME?</v>
      </c>
      <c r="G69" s="1827" t="e">
        <f t="shared" ca="1" si="64"/>
        <v>#NAME?</v>
      </c>
      <c r="H69" s="1827" t="e">
        <f t="shared" ca="1" si="64"/>
        <v>#NAME?</v>
      </c>
      <c r="I69" s="1827" t="e">
        <f t="shared" ca="1" si="64"/>
        <v>#NAME?</v>
      </c>
      <c r="J69" s="1827" t="e">
        <f t="shared" ca="1" si="64"/>
        <v>#NAME?</v>
      </c>
      <c r="K69" s="1827" t="e">
        <f t="shared" ca="1" si="64"/>
        <v>#NAME?</v>
      </c>
      <c r="L69" s="1827" t="e">
        <f t="shared" ca="1" si="64"/>
        <v>#NAME?</v>
      </c>
      <c r="M69" s="1827" t="e">
        <f t="shared" ca="1" si="64"/>
        <v>#NAME?</v>
      </c>
      <c r="N69" s="1827" t="e">
        <f t="shared" ca="1" si="64"/>
        <v>#NAME?</v>
      </c>
      <c r="O69" s="1828" t="e">
        <f t="shared" ca="1" si="64"/>
        <v>#NAME?</v>
      </c>
      <c r="P69" s="1828" t="e">
        <f t="shared" ca="1" si="61"/>
        <v>#NAME?</v>
      </c>
    </row>
    <row r="70" spans="1:17" x14ac:dyDescent="0.2">
      <c r="B70" s="1812" t="s">
        <v>209</v>
      </c>
      <c r="C70" s="1829" t="e">
        <f ca="1">Inventory!L35/12</f>
        <v>#NAME?</v>
      </c>
      <c r="D70" s="1826" t="e">
        <f t="shared" ref="D70:E70" ca="1" si="65">D63*$C70</f>
        <v>#NAME?</v>
      </c>
      <c r="E70" s="1827" t="e">
        <f t="shared" ca="1" si="65"/>
        <v>#NAME?</v>
      </c>
      <c r="F70" s="1827" t="e">
        <f ca="1">F63*$C70</f>
        <v>#NAME?</v>
      </c>
      <c r="G70" s="1827" t="e">
        <f t="shared" ref="G70:O70" ca="1" si="66">G63*$C70</f>
        <v>#NAME?</v>
      </c>
      <c r="H70" s="1827" t="e">
        <f t="shared" ca="1" si="66"/>
        <v>#NAME?</v>
      </c>
      <c r="I70" s="1827" t="e">
        <f t="shared" ca="1" si="66"/>
        <v>#NAME?</v>
      </c>
      <c r="J70" s="1827" t="e">
        <f t="shared" ca="1" si="66"/>
        <v>#NAME?</v>
      </c>
      <c r="K70" s="1827" t="e">
        <f t="shared" ca="1" si="66"/>
        <v>#NAME?</v>
      </c>
      <c r="L70" s="1827" t="e">
        <f t="shared" ca="1" si="66"/>
        <v>#NAME?</v>
      </c>
      <c r="M70" s="1827" t="e">
        <f t="shared" ca="1" si="66"/>
        <v>#NAME?</v>
      </c>
      <c r="N70" s="1827" t="e">
        <f t="shared" ca="1" si="66"/>
        <v>#NAME?</v>
      </c>
      <c r="O70" s="1828" t="e">
        <f t="shared" ca="1" si="66"/>
        <v>#NAME?</v>
      </c>
      <c r="P70" s="1828" t="e">
        <f t="shared" ca="1" si="61"/>
        <v>#NAME?</v>
      </c>
    </row>
    <row r="71" spans="1:17" x14ac:dyDescent="0.2">
      <c r="B71" s="1812" t="s">
        <v>210</v>
      </c>
      <c r="C71" s="1830" t="e">
        <f ca="1">(3*('Income Statement'!D11-'Income Statement'!D12))/P53</f>
        <v>#NAME?</v>
      </c>
      <c r="D71" s="1826" t="e">
        <f ca="1">D64*$C71</f>
        <v>#NAME?</v>
      </c>
      <c r="E71" s="1827" t="e">
        <f t="shared" ref="E71:O71" ca="1" si="67">E64*$C71</f>
        <v>#NAME?</v>
      </c>
      <c r="F71" s="1827" t="e">
        <f t="shared" ca="1" si="67"/>
        <v>#NAME?</v>
      </c>
      <c r="G71" s="1827" t="e">
        <f t="shared" ca="1" si="67"/>
        <v>#NAME?</v>
      </c>
      <c r="H71" s="1827" t="e">
        <f t="shared" ca="1" si="67"/>
        <v>#NAME?</v>
      </c>
      <c r="I71" s="1827" t="e">
        <f t="shared" ca="1" si="67"/>
        <v>#NAME?</v>
      </c>
      <c r="J71" s="1827" t="e">
        <f t="shared" ca="1" si="67"/>
        <v>#NAME?</v>
      </c>
      <c r="K71" s="1827" t="e">
        <f t="shared" ca="1" si="67"/>
        <v>#NAME?</v>
      </c>
      <c r="L71" s="1827" t="e">
        <f t="shared" ca="1" si="67"/>
        <v>#NAME?</v>
      </c>
      <c r="M71" s="1827" t="e">
        <f t="shared" ca="1" si="67"/>
        <v>#NAME?</v>
      </c>
      <c r="N71" s="1827" t="e">
        <f t="shared" ca="1" si="67"/>
        <v>#NAME?</v>
      </c>
      <c r="O71" s="1828" t="e">
        <f t="shared" ca="1" si="67"/>
        <v>#NAME?</v>
      </c>
      <c r="P71" s="1828" t="e">
        <f t="shared" ca="1" si="61"/>
        <v>#NAME?</v>
      </c>
    </row>
    <row r="72" spans="1:17" x14ac:dyDescent="0.2">
      <c r="B72" s="1812" t="s">
        <v>211</v>
      </c>
      <c r="C72" s="1831"/>
      <c r="D72" s="1832"/>
      <c r="E72" s="1832"/>
      <c r="F72" s="1832"/>
      <c r="G72" s="1832"/>
      <c r="H72" s="1832"/>
      <c r="I72" s="1832"/>
      <c r="J72" s="1832"/>
      <c r="K72" s="1832"/>
      <c r="L72" s="1832"/>
      <c r="M72" s="1832"/>
      <c r="N72" s="1832"/>
      <c r="O72" s="1832"/>
      <c r="P72" s="1828">
        <f>SUM(D72:O72)</f>
        <v>0</v>
      </c>
    </row>
    <row r="73" spans="1:17" x14ac:dyDescent="0.2">
      <c r="B73" s="1833" t="s">
        <v>128</v>
      </c>
      <c r="C73" s="1834"/>
      <c r="D73" s="1835" t="e">
        <f t="shared" ref="D73:P73" ca="1" si="68">SUM(D66:D72)</f>
        <v>#NAME?</v>
      </c>
      <c r="E73" s="1836" t="e">
        <f t="shared" ca="1" si="68"/>
        <v>#NAME?</v>
      </c>
      <c r="F73" s="1836" t="e">
        <f t="shared" ca="1" si="68"/>
        <v>#NAME?</v>
      </c>
      <c r="G73" s="1836" t="e">
        <f t="shared" ca="1" si="68"/>
        <v>#NAME?</v>
      </c>
      <c r="H73" s="1836" t="e">
        <f t="shared" ca="1" si="68"/>
        <v>#NAME?</v>
      </c>
      <c r="I73" s="1836" t="e">
        <f t="shared" ca="1" si="68"/>
        <v>#NAME?</v>
      </c>
      <c r="J73" s="1836" t="e">
        <f t="shared" ca="1" si="68"/>
        <v>#NAME?</v>
      </c>
      <c r="K73" s="1836" t="e">
        <f t="shared" ca="1" si="68"/>
        <v>#NAME?</v>
      </c>
      <c r="L73" s="1836" t="e">
        <f t="shared" ca="1" si="68"/>
        <v>#NAME?</v>
      </c>
      <c r="M73" s="1836" t="e">
        <f t="shared" ca="1" si="68"/>
        <v>#NAME?</v>
      </c>
      <c r="N73" s="1836" t="e">
        <f t="shared" ca="1" si="68"/>
        <v>#NAME?</v>
      </c>
      <c r="O73" s="1837" t="e">
        <f t="shared" ca="1" si="68"/>
        <v>#NAME?</v>
      </c>
      <c r="P73" s="1838" t="e">
        <f t="shared" ca="1" si="68"/>
        <v>#NAME?</v>
      </c>
    </row>
    <row r="75" spans="1:17" s="1839" customFormat="1" ht="2" customHeight="1" x14ac:dyDescent="0.2"/>
    <row r="76" spans="1:17" x14ac:dyDescent="0.2">
      <c r="A76" s="1849"/>
      <c r="B76" s="1849"/>
      <c r="C76" s="1849"/>
      <c r="D76" s="1849"/>
      <c r="E76" s="1849"/>
      <c r="F76" s="1849"/>
      <c r="G76" s="1849"/>
      <c r="H76" s="1849"/>
      <c r="I76" s="1849"/>
      <c r="J76" s="1849"/>
      <c r="K76" s="1849"/>
      <c r="L76" s="1849"/>
      <c r="M76" s="1849"/>
      <c r="N76" s="1849"/>
      <c r="O76" s="1849"/>
      <c r="P76" s="1849"/>
      <c r="Q76" s="1849"/>
    </row>
    <row r="77" spans="1:17" x14ac:dyDescent="0.2">
      <c r="A77" s="1849"/>
      <c r="B77" s="1850" t="s">
        <v>72</v>
      </c>
      <c r="C77" s="1849"/>
      <c r="D77" s="1849"/>
      <c r="E77" s="1849"/>
      <c r="F77" s="1849"/>
      <c r="G77" s="1849"/>
      <c r="H77" s="1849"/>
      <c r="I77" s="1849"/>
      <c r="J77" s="1849"/>
      <c r="K77" s="1849"/>
      <c r="L77" s="1849"/>
      <c r="M77" s="1849"/>
      <c r="N77" s="1849"/>
      <c r="O77" s="1849"/>
      <c r="P77" s="1849"/>
      <c r="Q77" s="1849"/>
    </row>
    <row r="78" spans="1:17" x14ac:dyDescent="0.2">
      <c r="A78" s="1849"/>
      <c r="B78" s="1849"/>
      <c r="C78" s="1849"/>
      <c r="D78" s="1849"/>
      <c r="E78" s="1849"/>
      <c r="F78" s="1849"/>
      <c r="G78" s="1849"/>
      <c r="H78" s="1849"/>
      <c r="I78" s="1849"/>
      <c r="J78" s="1849"/>
      <c r="K78" s="1849"/>
      <c r="L78" s="1849"/>
      <c r="M78" s="1849"/>
      <c r="N78" s="1849"/>
      <c r="O78" s="1849"/>
      <c r="P78" s="1849"/>
      <c r="Q78" s="1849"/>
    </row>
    <row r="79" spans="1:17" ht="16.25" customHeight="1" x14ac:dyDescent="0.2">
      <c r="A79" s="1849"/>
      <c r="B79" s="2863" t="s">
        <v>189</v>
      </c>
      <c r="C79" s="2864"/>
      <c r="D79" s="1851" t="e">
        <f ca="1">Capacity!D76</f>
        <v>#NAME?</v>
      </c>
      <c r="E79" s="1849"/>
      <c r="F79" s="1849"/>
      <c r="G79" s="1849"/>
      <c r="H79" s="1849"/>
      <c r="I79" s="1849"/>
      <c r="J79" s="1849"/>
      <c r="K79" s="1849"/>
      <c r="L79" s="1849"/>
      <c r="M79" s="1849"/>
      <c r="N79" s="1849"/>
      <c r="O79" s="1849"/>
      <c r="P79" s="1849"/>
      <c r="Q79" s="1849"/>
    </row>
    <row r="80" spans="1:17" x14ac:dyDescent="0.2">
      <c r="A80" s="1849"/>
      <c r="B80" s="1849"/>
      <c r="C80" s="1849"/>
      <c r="D80" s="1849"/>
      <c r="E80" s="1849"/>
      <c r="F80" s="1849"/>
      <c r="G80" s="1849"/>
      <c r="H80" s="1849"/>
      <c r="I80" s="1849"/>
      <c r="J80" s="1849"/>
      <c r="K80" s="1849"/>
      <c r="L80" s="1849"/>
      <c r="M80" s="1849"/>
      <c r="N80" s="1849"/>
      <c r="O80" s="1849"/>
      <c r="P80" s="1849"/>
      <c r="Q80" s="1849"/>
    </row>
    <row r="81" spans="1:17" ht="15" customHeight="1" x14ac:dyDescent="0.2">
      <c r="A81" s="1849"/>
      <c r="B81" s="2847" t="s">
        <v>109</v>
      </c>
      <c r="C81" s="1852" t="s">
        <v>190</v>
      </c>
      <c r="D81" s="1853" t="e">
        <f ca="1">ROUNDDOWN(Capacity!H60/12,0)</f>
        <v>#NAME?</v>
      </c>
      <c r="E81" s="1849"/>
      <c r="F81" s="1849"/>
      <c r="G81" s="1849"/>
      <c r="H81" s="1849"/>
      <c r="I81" s="1849"/>
      <c r="J81" s="1849"/>
      <c r="K81" s="1849"/>
      <c r="L81" s="1849"/>
      <c r="M81" s="1849"/>
      <c r="N81" s="1849"/>
      <c r="O81" s="1849"/>
      <c r="P81" s="1849"/>
      <c r="Q81" s="1849"/>
    </row>
    <row r="82" spans="1:17" x14ac:dyDescent="0.2">
      <c r="A82" s="1849"/>
      <c r="B82" s="2848"/>
      <c r="C82" s="1854" t="s">
        <v>191</v>
      </c>
      <c r="D82" s="1855" t="e">
        <f ca="1">ROUNDDOWN(D81/4,0)</f>
        <v>#NAME?</v>
      </c>
      <c r="E82" s="1849"/>
      <c r="F82" s="1849"/>
      <c r="G82" s="1849"/>
      <c r="H82" s="1849"/>
      <c r="I82" s="1849"/>
      <c r="J82" s="1849"/>
      <c r="K82" s="1849"/>
      <c r="L82" s="1849"/>
      <c r="M82" s="1849"/>
      <c r="N82" s="1849"/>
      <c r="O82" s="1849"/>
      <c r="P82" s="1849"/>
      <c r="Q82" s="1849"/>
    </row>
    <row r="83" spans="1:17" x14ac:dyDescent="0.2">
      <c r="A83" s="1849"/>
      <c r="B83" s="1849"/>
      <c r="C83" s="1849"/>
      <c r="D83" s="1849"/>
      <c r="E83" s="1849"/>
      <c r="F83" s="1849"/>
      <c r="G83" s="1849"/>
      <c r="H83" s="1849"/>
      <c r="I83" s="1849"/>
      <c r="J83" s="1849"/>
      <c r="K83" s="1849"/>
      <c r="L83" s="1849"/>
      <c r="M83" s="1849"/>
      <c r="N83" s="1849"/>
      <c r="O83" s="1849"/>
      <c r="P83" s="1849"/>
      <c r="Q83" s="1849"/>
    </row>
    <row r="84" spans="1:17" x14ac:dyDescent="0.2">
      <c r="A84" s="1849"/>
      <c r="B84" s="1856" t="s">
        <v>192</v>
      </c>
      <c r="C84" s="1857"/>
      <c r="D84" s="1798">
        <v>1</v>
      </c>
      <c r="E84" s="1798">
        <v>2</v>
      </c>
      <c r="F84" s="1798">
        <v>3</v>
      </c>
      <c r="G84" s="1798">
        <v>4</v>
      </c>
      <c r="H84" s="1798">
        <v>5</v>
      </c>
      <c r="I84" s="1798">
        <v>6</v>
      </c>
      <c r="J84" s="1798">
        <v>7</v>
      </c>
      <c r="K84" s="1798">
        <v>8</v>
      </c>
      <c r="L84" s="1798">
        <v>9</v>
      </c>
      <c r="M84" s="1798">
        <v>10</v>
      </c>
      <c r="N84" s="1798">
        <v>11</v>
      </c>
      <c r="O84" s="1798">
        <v>12</v>
      </c>
      <c r="P84" s="1799" t="s">
        <v>128</v>
      </c>
      <c r="Q84" s="1849"/>
    </row>
    <row r="85" spans="1:17" x14ac:dyDescent="0.2">
      <c r="A85" s="1849"/>
      <c r="B85" s="1858" t="s">
        <v>193</v>
      </c>
      <c r="C85" s="1859"/>
      <c r="D85" s="1860" t="e">
        <f t="shared" ref="D85:O85" ca="1" si="69">$P85*C9</f>
        <v>#NAME?</v>
      </c>
      <c r="E85" s="1802" t="e">
        <f t="shared" ca="1" si="69"/>
        <v>#NAME?</v>
      </c>
      <c r="F85" s="1802" t="e">
        <f t="shared" ca="1" si="69"/>
        <v>#NAME?</v>
      </c>
      <c r="G85" s="1802" t="e">
        <f t="shared" ca="1" si="69"/>
        <v>#NAME?</v>
      </c>
      <c r="H85" s="1802" t="e">
        <f t="shared" ca="1" si="69"/>
        <v>#NAME?</v>
      </c>
      <c r="I85" s="1802" t="e">
        <f t="shared" ca="1" si="69"/>
        <v>#NAME?</v>
      </c>
      <c r="J85" s="1802" t="e">
        <f t="shared" ca="1" si="69"/>
        <v>#NAME?</v>
      </c>
      <c r="K85" s="1802" t="e">
        <f t="shared" ca="1" si="69"/>
        <v>#NAME?</v>
      </c>
      <c r="L85" s="1802" t="e">
        <f t="shared" ca="1" si="69"/>
        <v>#NAME?</v>
      </c>
      <c r="M85" s="1802" t="e">
        <f t="shared" ca="1" si="69"/>
        <v>#NAME?</v>
      </c>
      <c r="N85" s="1802" t="e">
        <f t="shared" ca="1" si="69"/>
        <v>#NAME?</v>
      </c>
      <c r="O85" s="1802" t="e">
        <f t="shared" ca="1" si="69"/>
        <v>#NAME?</v>
      </c>
      <c r="P85" s="1803" t="e">
        <f ca="1">('BASES MODEL (Base Case)'!D37+Inventory!F69)</f>
        <v>#NAME?</v>
      </c>
      <c r="Q85" s="1849"/>
    </row>
    <row r="86" spans="1:17" x14ac:dyDescent="0.2">
      <c r="A86" s="1849"/>
      <c r="B86" s="1861" t="s">
        <v>194</v>
      </c>
      <c r="C86" s="1862"/>
      <c r="D86" s="1808"/>
      <c r="E86" s="1808"/>
      <c r="F86" s="1808"/>
      <c r="G86" s="1808"/>
      <c r="H86" s="1808"/>
      <c r="I86" s="1808"/>
      <c r="J86" s="1808"/>
      <c r="K86" s="1808"/>
      <c r="L86" s="1808"/>
      <c r="M86" s="1808"/>
      <c r="N86" s="1808"/>
      <c r="O86" s="1809"/>
      <c r="P86" s="1810"/>
      <c r="Q86" s="1849"/>
    </row>
    <row r="87" spans="1:17" x14ac:dyDescent="0.2">
      <c r="A87" s="1849"/>
      <c r="B87" s="1863" t="s">
        <v>195</v>
      </c>
      <c r="C87" s="1862"/>
      <c r="D87" s="1864" t="e">
        <f ca="1">IF(D85&lt;$D81,D85,$D81)</f>
        <v>#NAME?</v>
      </c>
      <c r="E87" s="1813" t="e">
        <f t="shared" ref="E87:O87" ca="1" si="70">IF(E85&lt;$D81,E85,$D81)</f>
        <v>#NAME?</v>
      </c>
      <c r="F87" s="1813" t="e">
        <f t="shared" ca="1" si="70"/>
        <v>#NAME?</v>
      </c>
      <c r="G87" s="1813" t="e">
        <f ca="1">D81</f>
        <v>#NAME?</v>
      </c>
      <c r="H87" s="1813" t="e">
        <f ca="1">D81</f>
        <v>#NAME?</v>
      </c>
      <c r="I87" s="1813" t="e">
        <f ca="1">D81</f>
        <v>#NAME?</v>
      </c>
      <c r="J87" s="1813" t="e">
        <f t="shared" ca="1" si="70"/>
        <v>#NAME?</v>
      </c>
      <c r="K87" s="1813" t="e">
        <f t="shared" ca="1" si="70"/>
        <v>#NAME?</v>
      </c>
      <c r="L87" s="1813" t="e">
        <f t="shared" ca="1" si="70"/>
        <v>#NAME?</v>
      </c>
      <c r="M87" s="1813" t="e">
        <f t="shared" ca="1" si="70"/>
        <v>#NAME?</v>
      </c>
      <c r="N87" s="1813" t="e">
        <f t="shared" ca="1" si="70"/>
        <v>#NAME?</v>
      </c>
      <c r="O87" s="1813" t="e">
        <f t="shared" ca="1" si="70"/>
        <v>#NAME?</v>
      </c>
      <c r="P87" s="1810" t="e">
        <f ca="1">SUM(D87:O87)</f>
        <v>#NAME?</v>
      </c>
      <c r="Q87" s="1849"/>
    </row>
    <row r="88" spans="1:17" x14ac:dyDescent="0.2">
      <c r="A88" s="1849"/>
      <c r="B88" s="1861" t="s">
        <v>196</v>
      </c>
      <c r="C88" s="1862"/>
      <c r="D88" s="1865" t="e">
        <f ca="1">D85-D87</f>
        <v>#NAME?</v>
      </c>
      <c r="E88" s="1814" t="e">
        <f t="shared" ref="E88:O88" ca="1" si="71">E85-E87</f>
        <v>#NAME?</v>
      </c>
      <c r="F88" s="1814" t="e">
        <f t="shared" ca="1" si="71"/>
        <v>#NAME?</v>
      </c>
      <c r="G88" s="1814"/>
      <c r="H88" s="1814"/>
      <c r="I88" s="1814">
        <v>0</v>
      </c>
      <c r="J88" s="1814">
        <v>0</v>
      </c>
      <c r="K88" s="1814">
        <v>0</v>
      </c>
      <c r="L88" s="1814" t="e">
        <f ca="1">L85-L87-790-734+17</f>
        <v>#NAME?</v>
      </c>
      <c r="M88" s="1814" t="e">
        <f t="shared" ca="1" si="71"/>
        <v>#NAME?</v>
      </c>
      <c r="N88" s="1814" t="e">
        <f t="shared" ca="1" si="71"/>
        <v>#NAME?</v>
      </c>
      <c r="O88" s="1814" t="e">
        <f t="shared" ca="1" si="71"/>
        <v>#NAME?</v>
      </c>
      <c r="P88" s="1810" t="e">
        <f ca="1">SUM(D88:O88)</f>
        <v>#NAME?</v>
      </c>
      <c r="Q88" s="1849"/>
    </row>
    <row r="89" spans="1:17" x14ac:dyDescent="0.2">
      <c r="A89" s="1849"/>
      <c r="B89" s="1861" t="s">
        <v>197</v>
      </c>
      <c r="C89" s="1862"/>
      <c r="D89" s="1865">
        <v>0</v>
      </c>
      <c r="E89" s="1814">
        <v>0</v>
      </c>
      <c r="F89" s="1814">
        <v>0</v>
      </c>
      <c r="G89" s="1814">
        <v>0</v>
      </c>
      <c r="H89" s="1814">
        <v>0</v>
      </c>
      <c r="I89" s="1814">
        <v>0</v>
      </c>
      <c r="J89" s="1814">
        <v>0</v>
      </c>
      <c r="K89" s="1814">
        <v>0</v>
      </c>
      <c r="L89" s="1814"/>
      <c r="M89" s="1814">
        <v>0</v>
      </c>
      <c r="N89" s="1814">
        <v>0</v>
      </c>
      <c r="O89" s="1814"/>
      <c r="P89" s="1810">
        <f>SUM(D89:O89)</f>
        <v>0</v>
      </c>
      <c r="Q89" s="1849"/>
    </row>
    <row r="90" spans="1:17" x14ac:dyDescent="0.2">
      <c r="A90" s="1849"/>
      <c r="B90" s="1861" t="s">
        <v>198</v>
      </c>
      <c r="C90" s="1862"/>
      <c r="D90" s="1865">
        <v>0</v>
      </c>
      <c r="E90" s="1814">
        <v>0</v>
      </c>
      <c r="F90" s="1814">
        <v>0</v>
      </c>
      <c r="G90" s="1814">
        <v>0</v>
      </c>
      <c r="H90" s="1814">
        <v>0</v>
      </c>
      <c r="I90" s="1814">
        <v>0</v>
      </c>
      <c r="J90" s="1814">
        <v>0</v>
      </c>
      <c r="K90" s="1814">
        <v>0</v>
      </c>
      <c r="L90" s="1814">
        <v>0</v>
      </c>
      <c r="M90" s="1814">
        <v>0</v>
      </c>
      <c r="N90" s="1814">
        <v>0</v>
      </c>
      <c r="O90" s="1814">
        <v>0</v>
      </c>
      <c r="P90" s="1810">
        <f>SUM(D90:O90)</f>
        <v>0</v>
      </c>
      <c r="Q90" s="1849"/>
    </row>
    <row r="91" spans="1:17" x14ac:dyDescent="0.2">
      <c r="A91" s="1849"/>
      <c r="B91" s="1863" t="s">
        <v>199</v>
      </c>
      <c r="C91" s="1862"/>
      <c r="D91" s="1808" t="e">
        <f t="shared" ref="D91" ca="1" si="72">SUM(D87:D90)-D85</f>
        <v>#NAME?</v>
      </c>
      <c r="E91" s="1808" t="e">
        <f t="shared" ref="E91" ca="1" si="73">SUM(E87:E90)-E85</f>
        <v>#NAME?</v>
      </c>
      <c r="F91" s="1808" t="e">
        <f t="shared" ref="F91" ca="1" si="74">SUM(F87:F90)-F85</f>
        <v>#NAME?</v>
      </c>
      <c r="G91" s="1808" t="e">
        <f t="shared" ref="G91" ca="1" si="75">SUM(G87:G90)-G85</f>
        <v>#NAME?</v>
      </c>
      <c r="H91" s="1808" t="e">
        <f t="shared" ref="H91" ca="1" si="76">SUM(H87:H90)-H85</f>
        <v>#NAME?</v>
      </c>
      <c r="I91" s="1808" t="e">
        <f t="shared" ref="I91" ca="1" si="77">SUM(I87:I90)-I85</f>
        <v>#NAME?</v>
      </c>
      <c r="J91" s="1808" t="e">
        <f t="shared" ref="J91" ca="1" si="78">SUM(J87:J90)-J85</f>
        <v>#NAME?</v>
      </c>
      <c r="K91" s="1808" t="e">
        <f t="shared" ref="K91" ca="1" si="79">SUM(K87:K90)-K85</f>
        <v>#NAME?</v>
      </c>
      <c r="L91" s="1808" t="e">
        <f t="shared" ref="L91" ca="1" si="80">SUM(L87:L90)-L85</f>
        <v>#NAME?</v>
      </c>
      <c r="M91" s="1808" t="e">
        <f t="shared" ref="M91" ca="1" si="81">SUM(M87:M90)-M85</f>
        <v>#NAME?</v>
      </c>
      <c r="N91" s="1808" t="e">
        <f t="shared" ref="N91" ca="1" si="82">SUM(N87:N90)-N85</f>
        <v>#NAME?</v>
      </c>
      <c r="O91" s="1809" t="e">
        <f t="shared" ref="O91" ca="1" si="83">SUM(O87:O90)-O85</f>
        <v>#NAME?</v>
      </c>
      <c r="P91" s="1810" t="e">
        <f ca="1">SUM(D91:O91)</f>
        <v>#NAME?</v>
      </c>
      <c r="Q91" s="1849"/>
    </row>
    <row r="92" spans="1:17" x14ac:dyDescent="0.2">
      <c r="A92" s="1849"/>
      <c r="B92" s="1861" t="s">
        <v>13</v>
      </c>
      <c r="C92" s="1862"/>
      <c r="D92" s="1808"/>
      <c r="E92" s="1808"/>
      <c r="F92" s="1808"/>
      <c r="G92" s="1808"/>
      <c r="H92" s="1808"/>
      <c r="I92" s="1808"/>
      <c r="J92" s="1808"/>
      <c r="K92" s="1808"/>
      <c r="L92" s="1808"/>
      <c r="M92" s="1808"/>
      <c r="N92" s="1808"/>
      <c r="O92" s="1809"/>
      <c r="P92" s="1810"/>
      <c r="Q92" s="1849"/>
    </row>
    <row r="93" spans="1:17" x14ac:dyDescent="0.2">
      <c r="A93" s="1849"/>
      <c r="B93" s="1861" t="s">
        <v>200</v>
      </c>
      <c r="C93" s="1862"/>
      <c r="D93" s="1808">
        <f>C94</f>
        <v>0</v>
      </c>
      <c r="E93" s="1808" t="e">
        <f ca="1">D94</f>
        <v>#NAME?</v>
      </c>
      <c r="F93" s="1808" t="e">
        <f t="shared" ref="F93" ca="1" si="84">E94</f>
        <v>#NAME?</v>
      </c>
      <c r="G93" s="1808" t="e">
        <f t="shared" ref="G93" ca="1" si="85">F94</f>
        <v>#NAME?</v>
      </c>
      <c r="H93" s="1808" t="e">
        <f t="shared" ref="H93" ca="1" si="86">G94</f>
        <v>#NAME?</v>
      </c>
      <c r="I93" s="1808" t="e">
        <f t="shared" ref="I93" ca="1" si="87">H94</f>
        <v>#NAME?</v>
      </c>
      <c r="J93" s="1808" t="e">
        <f t="shared" ref="J93" ca="1" si="88">I94</f>
        <v>#NAME?</v>
      </c>
      <c r="K93" s="1808" t="e">
        <f t="shared" ref="K93" ca="1" si="89">J94</f>
        <v>#NAME?</v>
      </c>
      <c r="L93" s="1808" t="e">
        <f t="shared" ref="L93" ca="1" si="90">K94</f>
        <v>#NAME?</v>
      </c>
      <c r="M93" s="1808" t="e">
        <f t="shared" ref="M93" ca="1" si="91">L94</f>
        <v>#NAME?</v>
      </c>
      <c r="N93" s="1808" t="e">
        <f t="shared" ref="N93" ca="1" si="92">M94</f>
        <v>#NAME?</v>
      </c>
      <c r="O93" s="1808" t="e">
        <f t="shared" ref="O93" ca="1" si="93">N94</f>
        <v>#NAME?</v>
      </c>
      <c r="P93" s="1810"/>
      <c r="Q93" s="1849"/>
    </row>
    <row r="94" spans="1:17" x14ac:dyDescent="0.2">
      <c r="A94" s="1849"/>
      <c r="B94" s="1861" t="s">
        <v>201</v>
      </c>
      <c r="C94" s="1866"/>
      <c r="D94" s="1808" t="e">
        <f ca="1">MAX(D93+D91-C96,0)</f>
        <v>#NAME?</v>
      </c>
      <c r="E94" s="1808" t="e">
        <f ca="1">MAX(E93+E91-D96,0)</f>
        <v>#NAME?</v>
      </c>
      <c r="F94" s="1808" t="e">
        <f t="shared" ref="F94" ca="1" si="94">MAX(F93+F91-E96,0)</f>
        <v>#NAME?</v>
      </c>
      <c r="G94" s="1808" t="e">
        <f t="shared" ref="G94" ca="1" si="95">MAX(G93+G91-F96,0)</f>
        <v>#NAME?</v>
      </c>
      <c r="H94" s="1808" t="e">
        <f t="shared" ref="H94" ca="1" si="96">MAX(H93+H91-G96,0)</f>
        <v>#NAME?</v>
      </c>
      <c r="I94" s="1808" t="e">
        <f t="shared" ref="I94" ca="1" si="97">MAX(I93+I91-H96,0)</f>
        <v>#NAME?</v>
      </c>
      <c r="J94" s="1808" t="e">
        <f t="shared" ref="J94" ca="1" si="98">MAX(J93+J91-I96,0)</f>
        <v>#NAME?</v>
      </c>
      <c r="K94" s="1808" t="e">
        <f t="shared" ref="K94" ca="1" si="99">MAX(K93+K91-J96,0)</f>
        <v>#NAME?</v>
      </c>
      <c r="L94" s="1808" t="e">
        <f t="shared" ref="L94" ca="1" si="100">MAX(L93+L91-K96,0)</f>
        <v>#NAME?</v>
      </c>
      <c r="M94" s="1808" t="e">
        <f t="shared" ref="M94" ca="1" si="101">MAX(M93+M91-L96,0)</f>
        <v>#NAME?</v>
      </c>
      <c r="N94" s="1808" t="e">
        <f t="shared" ref="N94" ca="1" si="102">MAX(N93+N91-M96,0)</f>
        <v>#NAME?</v>
      </c>
      <c r="O94" s="1808" t="e">
        <f t="shared" ref="O94" ca="1" si="103">MAX(O93+O91-N96,0)</f>
        <v>#NAME?</v>
      </c>
      <c r="P94" s="1810"/>
      <c r="Q94" s="1849"/>
    </row>
    <row r="95" spans="1:17" x14ac:dyDescent="0.2">
      <c r="A95" s="1849"/>
      <c r="B95" s="1861" t="s">
        <v>202</v>
      </c>
      <c r="C95" s="1862"/>
      <c r="D95" s="1808" t="e">
        <f ca="1">(D93+D94)/2</f>
        <v>#NAME?</v>
      </c>
      <c r="E95" s="1808" t="e">
        <f t="shared" ref="E95:O95" ca="1" si="104">(E93+E94)/2</f>
        <v>#NAME?</v>
      </c>
      <c r="F95" s="1808" t="e">
        <f t="shared" ca="1" si="104"/>
        <v>#NAME?</v>
      </c>
      <c r="G95" s="1808" t="e">
        <f t="shared" ca="1" si="104"/>
        <v>#NAME?</v>
      </c>
      <c r="H95" s="1808" t="e">
        <f t="shared" ca="1" si="104"/>
        <v>#NAME?</v>
      </c>
      <c r="I95" s="1808" t="e">
        <f t="shared" ca="1" si="104"/>
        <v>#NAME?</v>
      </c>
      <c r="J95" s="1808" t="e">
        <f t="shared" ca="1" si="104"/>
        <v>#NAME?</v>
      </c>
      <c r="K95" s="1808" t="e">
        <f t="shared" ca="1" si="104"/>
        <v>#NAME?</v>
      </c>
      <c r="L95" s="1808" t="e">
        <f t="shared" ca="1" si="104"/>
        <v>#NAME?</v>
      </c>
      <c r="M95" s="1808" t="e">
        <f t="shared" ca="1" si="104"/>
        <v>#NAME?</v>
      </c>
      <c r="N95" s="1816" t="e">
        <f t="shared" ca="1" si="104"/>
        <v>#NAME?</v>
      </c>
      <c r="O95" s="1809" t="e">
        <f t="shared" ca="1" si="104"/>
        <v>#NAME?</v>
      </c>
      <c r="P95" s="1810" t="e">
        <f ca="1">AVERAGE(D95:O95)</f>
        <v>#NAME?</v>
      </c>
      <c r="Q95" s="1849"/>
    </row>
    <row r="96" spans="1:17" x14ac:dyDescent="0.2">
      <c r="A96" s="1849"/>
      <c r="B96" s="1867" t="s">
        <v>203</v>
      </c>
      <c r="C96" s="1868"/>
      <c r="D96" s="1808">
        <v>0</v>
      </c>
      <c r="E96" s="1808" t="e">
        <f ca="1">MAX(D96-E91-E93,0)</f>
        <v>#NAME?</v>
      </c>
      <c r="F96" s="1808" t="e">
        <f t="shared" ref="F96" ca="1" si="105">MAX(E96-F91-F93,0)</f>
        <v>#NAME?</v>
      </c>
      <c r="G96" s="1808" t="e">
        <f t="shared" ref="G96" ca="1" si="106">MAX(F96-G91-G93,0)</f>
        <v>#NAME?</v>
      </c>
      <c r="H96" s="1808" t="e">
        <f t="shared" ref="H96" ca="1" si="107">MAX(G96-H91-H93,0)</f>
        <v>#NAME?</v>
      </c>
      <c r="I96" s="1808" t="e">
        <f t="shared" ref="I96" ca="1" si="108">MAX(H96-I91-I93,0)</f>
        <v>#NAME?</v>
      </c>
      <c r="J96" s="1808" t="e">
        <f t="shared" ref="J96" ca="1" si="109">MAX(I96-J91-J93,0)</f>
        <v>#NAME?</v>
      </c>
      <c r="K96" s="1808" t="e">
        <f t="shared" ref="K96" ca="1" si="110">MAX(J96-K91-K93,0)</f>
        <v>#NAME?</v>
      </c>
      <c r="L96" s="1808" t="e">
        <f t="shared" ref="L96" ca="1" si="111">MAX(K96-L91-L93,0)</f>
        <v>#NAME?</v>
      </c>
      <c r="M96" s="1808" t="e">
        <f t="shared" ref="M96" ca="1" si="112">MAX(L96-M91-M93,0)</f>
        <v>#NAME?</v>
      </c>
      <c r="N96" s="1808" t="e">
        <f t="shared" ref="N96" ca="1" si="113">MAX(M96-N91-N93,0)</f>
        <v>#NAME?</v>
      </c>
      <c r="O96" s="1808" t="e">
        <f t="shared" ref="O96" ca="1" si="114">MAX(N96-O91-O93,0)</f>
        <v>#NAME?</v>
      </c>
      <c r="P96" s="1819" t="e">
        <f ca="1">SUM(D96:O96)</f>
        <v>#NAME?</v>
      </c>
      <c r="Q96" s="1849"/>
    </row>
    <row r="97" spans="1:17" x14ac:dyDescent="0.2">
      <c r="A97" s="1849"/>
      <c r="B97" s="1812" t="s">
        <v>204</v>
      </c>
      <c r="C97" s="1820"/>
      <c r="D97" s="1821"/>
      <c r="E97" s="1822"/>
      <c r="F97" s="1822"/>
      <c r="G97" s="1822"/>
      <c r="H97" s="1822"/>
      <c r="I97" s="1822"/>
      <c r="J97" s="1822"/>
      <c r="K97" s="1822"/>
      <c r="L97" s="1822"/>
      <c r="M97" s="1822"/>
      <c r="N97" s="1822"/>
      <c r="O97" s="1823"/>
      <c r="P97" s="1824"/>
      <c r="Q97" s="1849"/>
    </row>
    <row r="98" spans="1:17" x14ac:dyDescent="0.2">
      <c r="A98" s="1849"/>
      <c r="B98" s="1812" t="s">
        <v>205</v>
      </c>
      <c r="C98" s="1869" t="e">
        <f ca="1">Salaries!G80/P85</f>
        <v>#NAME?</v>
      </c>
      <c r="D98" s="1826" t="e">
        <f ca="1">D87*$C98</f>
        <v>#NAME?</v>
      </c>
      <c r="E98" s="1827" t="e">
        <f t="shared" ref="E98:O98" ca="1" si="115">E87*$C98</f>
        <v>#NAME?</v>
      </c>
      <c r="F98" s="1827" t="e">
        <f t="shared" ca="1" si="115"/>
        <v>#NAME?</v>
      </c>
      <c r="G98" s="1827" t="e">
        <f t="shared" ca="1" si="115"/>
        <v>#NAME?</v>
      </c>
      <c r="H98" s="1827" t="e">
        <f t="shared" ca="1" si="115"/>
        <v>#NAME?</v>
      </c>
      <c r="I98" s="1827" t="e">
        <f t="shared" ca="1" si="115"/>
        <v>#NAME?</v>
      </c>
      <c r="J98" s="1827" t="e">
        <f t="shared" ca="1" si="115"/>
        <v>#NAME?</v>
      </c>
      <c r="K98" s="1827" t="e">
        <f t="shared" ca="1" si="115"/>
        <v>#NAME?</v>
      </c>
      <c r="L98" s="1827" t="e">
        <f t="shared" ca="1" si="115"/>
        <v>#NAME?</v>
      </c>
      <c r="M98" s="1827" t="e">
        <f t="shared" ca="1" si="115"/>
        <v>#NAME?</v>
      </c>
      <c r="N98" s="1827" t="e">
        <f t="shared" ca="1" si="115"/>
        <v>#NAME?</v>
      </c>
      <c r="O98" s="1828" t="e">
        <f t="shared" ca="1" si="115"/>
        <v>#NAME?</v>
      </c>
      <c r="P98" s="1828" t="e">
        <f t="shared" ref="P98:P103" ca="1" si="116">SUM(D98:O98)</f>
        <v>#NAME?</v>
      </c>
      <c r="Q98" s="1849"/>
    </row>
    <row r="99" spans="1:17" x14ac:dyDescent="0.2">
      <c r="A99" s="1849"/>
      <c r="B99" s="1812" t="s">
        <v>206</v>
      </c>
      <c r="C99" s="1829" t="e">
        <f ca="1">C98*1.73</f>
        <v>#NAME?</v>
      </c>
      <c r="D99" s="1826" t="e">
        <f ca="1">D88*$C99</f>
        <v>#NAME?</v>
      </c>
      <c r="E99" s="1827" t="e">
        <f t="shared" ref="E99:O99" ca="1" si="117">E88*$C99</f>
        <v>#NAME?</v>
      </c>
      <c r="F99" s="1827" t="e">
        <f t="shared" ca="1" si="117"/>
        <v>#NAME?</v>
      </c>
      <c r="G99" s="1827" t="e">
        <f t="shared" ca="1" si="117"/>
        <v>#NAME?</v>
      </c>
      <c r="H99" s="1827" t="e">
        <f t="shared" ca="1" si="117"/>
        <v>#NAME?</v>
      </c>
      <c r="I99" s="1827" t="e">
        <f t="shared" ca="1" si="117"/>
        <v>#NAME?</v>
      </c>
      <c r="J99" s="1827" t="e">
        <f t="shared" ca="1" si="117"/>
        <v>#NAME?</v>
      </c>
      <c r="K99" s="1827" t="e">
        <f t="shared" ca="1" si="117"/>
        <v>#NAME?</v>
      </c>
      <c r="L99" s="1827" t="e">
        <f t="shared" ca="1" si="117"/>
        <v>#NAME?</v>
      </c>
      <c r="M99" s="1827" t="e">
        <f t="shared" ca="1" si="117"/>
        <v>#NAME?</v>
      </c>
      <c r="N99" s="1827" t="e">
        <f t="shared" ca="1" si="117"/>
        <v>#NAME?</v>
      </c>
      <c r="O99" s="1828" t="e">
        <f t="shared" ca="1" si="117"/>
        <v>#NAME?</v>
      </c>
      <c r="P99" s="1828" t="e">
        <f t="shared" ca="1" si="116"/>
        <v>#NAME?</v>
      </c>
      <c r="Q99" s="1849"/>
    </row>
    <row r="100" spans="1:17" x14ac:dyDescent="0.2">
      <c r="A100" s="1849"/>
      <c r="B100" s="1812" t="s">
        <v>207</v>
      </c>
      <c r="C100" s="1829" t="e">
        <f ca="1">C98*1.5</f>
        <v>#NAME?</v>
      </c>
      <c r="D100" s="1826" t="e">
        <f ca="1">D89*$C100</f>
        <v>#NAME?</v>
      </c>
      <c r="E100" s="1827" t="e">
        <f t="shared" ref="E100:O100" ca="1" si="118">E89*$C100</f>
        <v>#NAME?</v>
      </c>
      <c r="F100" s="1827" t="e">
        <f t="shared" ca="1" si="118"/>
        <v>#NAME?</v>
      </c>
      <c r="G100" s="1827" t="e">
        <f t="shared" ca="1" si="118"/>
        <v>#NAME?</v>
      </c>
      <c r="H100" s="1827" t="e">
        <f t="shared" ca="1" si="118"/>
        <v>#NAME?</v>
      </c>
      <c r="I100" s="1827" t="e">
        <f t="shared" ca="1" si="118"/>
        <v>#NAME?</v>
      </c>
      <c r="J100" s="1827" t="e">
        <f t="shared" ca="1" si="118"/>
        <v>#NAME?</v>
      </c>
      <c r="K100" s="1827" t="e">
        <f t="shared" ca="1" si="118"/>
        <v>#NAME?</v>
      </c>
      <c r="L100" s="1827" t="e">
        <f t="shared" ca="1" si="118"/>
        <v>#NAME?</v>
      </c>
      <c r="M100" s="1827" t="e">
        <f t="shared" ca="1" si="118"/>
        <v>#NAME?</v>
      </c>
      <c r="N100" s="1827" t="e">
        <f t="shared" ca="1" si="118"/>
        <v>#NAME?</v>
      </c>
      <c r="O100" s="1828" t="e">
        <f t="shared" ca="1" si="118"/>
        <v>#NAME?</v>
      </c>
      <c r="P100" s="1828" t="e">
        <f t="shared" ca="1" si="116"/>
        <v>#NAME?</v>
      </c>
      <c r="Q100" s="1849"/>
    </row>
    <row r="101" spans="1:17" x14ac:dyDescent="0.2">
      <c r="A101" s="1849"/>
      <c r="B101" s="1812" t="s">
        <v>208</v>
      </c>
      <c r="C101" s="1829" t="e">
        <f ca="1">C98*2</f>
        <v>#NAME?</v>
      </c>
      <c r="D101" s="1826" t="e">
        <f ca="1">D90*$C101</f>
        <v>#NAME?</v>
      </c>
      <c r="E101" s="1827" t="e">
        <f t="shared" ref="E101:O101" ca="1" si="119">E90*$C101</f>
        <v>#NAME?</v>
      </c>
      <c r="F101" s="1827" t="e">
        <f t="shared" ca="1" si="119"/>
        <v>#NAME?</v>
      </c>
      <c r="G101" s="1827" t="e">
        <f t="shared" ca="1" si="119"/>
        <v>#NAME?</v>
      </c>
      <c r="H101" s="1827" t="e">
        <f t="shared" ca="1" si="119"/>
        <v>#NAME?</v>
      </c>
      <c r="I101" s="1827" t="e">
        <f t="shared" ca="1" si="119"/>
        <v>#NAME?</v>
      </c>
      <c r="J101" s="1827" t="e">
        <f t="shared" ca="1" si="119"/>
        <v>#NAME?</v>
      </c>
      <c r="K101" s="1827" t="e">
        <f t="shared" ca="1" si="119"/>
        <v>#NAME?</v>
      </c>
      <c r="L101" s="1827" t="e">
        <f t="shared" ca="1" si="119"/>
        <v>#NAME?</v>
      </c>
      <c r="M101" s="1827" t="e">
        <f t="shared" ca="1" si="119"/>
        <v>#NAME?</v>
      </c>
      <c r="N101" s="1827" t="e">
        <f t="shared" ca="1" si="119"/>
        <v>#NAME?</v>
      </c>
      <c r="O101" s="1828" t="e">
        <f t="shared" ca="1" si="119"/>
        <v>#NAME?</v>
      </c>
      <c r="P101" s="1828" t="e">
        <f t="shared" ca="1" si="116"/>
        <v>#NAME?</v>
      </c>
      <c r="Q101" s="1849"/>
    </row>
    <row r="102" spans="1:17" x14ac:dyDescent="0.2">
      <c r="A102" s="1849"/>
      <c r="B102" s="1812" t="s">
        <v>209</v>
      </c>
      <c r="C102" s="1829" t="e">
        <f ca="1">Inventory!L69/12</f>
        <v>#NAME?</v>
      </c>
      <c r="D102" s="1826" t="e">
        <f t="shared" ref="D102:E102" ca="1" si="120">D95*$C102</f>
        <v>#NAME?</v>
      </c>
      <c r="E102" s="1827" t="e">
        <f t="shared" ca="1" si="120"/>
        <v>#NAME?</v>
      </c>
      <c r="F102" s="1827" t="e">
        <f ca="1">F95*$C102</f>
        <v>#NAME?</v>
      </c>
      <c r="G102" s="1827" t="e">
        <f t="shared" ref="G102:O102" ca="1" si="121">G95*$C102</f>
        <v>#NAME?</v>
      </c>
      <c r="H102" s="1827" t="e">
        <f t="shared" ca="1" si="121"/>
        <v>#NAME?</v>
      </c>
      <c r="I102" s="1827" t="e">
        <f t="shared" ca="1" si="121"/>
        <v>#NAME?</v>
      </c>
      <c r="J102" s="1827" t="e">
        <f t="shared" ca="1" si="121"/>
        <v>#NAME?</v>
      </c>
      <c r="K102" s="1827" t="e">
        <f t="shared" ca="1" si="121"/>
        <v>#NAME?</v>
      </c>
      <c r="L102" s="1827" t="e">
        <f t="shared" ca="1" si="121"/>
        <v>#NAME?</v>
      </c>
      <c r="M102" s="1827" t="e">
        <f t="shared" ca="1" si="121"/>
        <v>#NAME?</v>
      </c>
      <c r="N102" s="1827" t="e">
        <f t="shared" ca="1" si="121"/>
        <v>#NAME?</v>
      </c>
      <c r="O102" s="1828" t="e">
        <f t="shared" ca="1" si="121"/>
        <v>#NAME?</v>
      </c>
      <c r="P102" s="1828" t="e">
        <f t="shared" ca="1" si="116"/>
        <v>#NAME?</v>
      </c>
      <c r="Q102" s="1849"/>
    </row>
    <row r="103" spans="1:17" x14ac:dyDescent="0.2">
      <c r="A103" s="1849"/>
      <c r="B103" s="1812" t="s">
        <v>210</v>
      </c>
      <c r="C103" s="1830" t="e">
        <f ca="1">(3*('Income Statement'!E11-'Income Statement'!E12))/P85</f>
        <v>#NAME?</v>
      </c>
      <c r="D103" s="1826" t="e">
        <f ca="1">D96*$C103</f>
        <v>#NAME?</v>
      </c>
      <c r="E103" s="1827" t="e">
        <f t="shared" ref="E103:O103" ca="1" si="122">E96*$C103</f>
        <v>#NAME?</v>
      </c>
      <c r="F103" s="1827" t="e">
        <f t="shared" ca="1" si="122"/>
        <v>#NAME?</v>
      </c>
      <c r="G103" s="1827" t="e">
        <f t="shared" ca="1" si="122"/>
        <v>#NAME?</v>
      </c>
      <c r="H103" s="1827" t="e">
        <f t="shared" ca="1" si="122"/>
        <v>#NAME?</v>
      </c>
      <c r="I103" s="1827" t="e">
        <f t="shared" ca="1" si="122"/>
        <v>#NAME?</v>
      </c>
      <c r="J103" s="1827" t="e">
        <f t="shared" ca="1" si="122"/>
        <v>#NAME?</v>
      </c>
      <c r="K103" s="1827" t="e">
        <f t="shared" ca="1" si="122"/>
        <v>#NAME?</v>
      </c>
      <c r="L103" s="1827" t="e">
        <f t="shared" ca="1" si="122"/>
        <v>#NAME?</v>
      </c>
      <c r="M103" s="1827" t="e">
        <f t="shared" ca="1" si="122"/>
        <v>#NAME?</v>
      </c>
      <c r="N103" s="1827" t="e">
        <f t="shared" ca="1" si="122"/>
        <v>#NAME?</v>
      </c>
      <c r="O103" s="1828" t="e">
        <f t="shared" ca="1" si="122"/>
        <v>#NAME?</v>
      </c>
      <c r="P103" s="1828" t="e">
        <f t="shared" ca="1" si="116"/>
        <v>#NAME?</v>
      </c>
      <c r="Q103" s="1849"/>
    </row>
    <row r="104" spans="1:17" x14ac:dyDescent="0.2">
      <c r="A104" s="1849"/>
      <c r="B104" s="1812" t="s">
        <v>211</v>
      </c>
      <c r="C104" s="1831"/>
      <c r="D104" s="1832"/>
      <c r="E104" s="1832"/>
      <c r="F104" s="1832"/>
      <c r="G104" s="1832"/>
      <c r="H104" s="1832"/>
      <c r="I104" s="1832"/>
      <c r="J104" s="1832"/>
      <c r="K104" s="1832"/>
      <c r="L104" s="1832"/>
      <c r="M104" s="1832"/>
      <c r="N104" s="1832"/>
      <c r="O104" s="1832"/>
      <c r="P104" s="1828">
        <f>SUM(D104:O104)</f>
        <v>0</v>
      </c>
      <c r="Q104" s="1849"/>
    </row>
    <row r="105" spans="1:17" x14ac:dyDescent="0.2">
      <c r="A105" s="1849"/>
      <c r="B105" s="1833" t="s">
        <v>128</v>
      </c>
      <c r="C105" s="1834"/>
      <c r="D105" s="1835" t="e">
        <f t="shared" ref="D105:P105" ca="1" si="123">SUM(D98:D104)</f>
        <v>#NAME?</v>
      </c>
      <c r="E105" s="1836" t="e">
        <f t="shared" ca="1" si="123"/>
        <v>#NAME?</v>
      </c>
      <c r="F105" s="1836" t="e">
        <f t="shared" ca="1" si="123"/>
        <v>#NAME?</v>
      </c>
      <c r="G105" s="1836" t="e">
        <f t="shared" ca="1" si="123"/>
        <v>#NAME?</v>
      </c>
      <c r="H105" s="1836" t="e">
        <f t="shared" ca="1" si="123"/>
        <v>#NAME?</v>
      </c>
      <c r="I105" s="1836" t="e">
        <f t="shared" ca="1" si="123"/>
        <v>#NAME?</v>
      </c>
      <c r="J105" s="1836" t="e">
        <f t="shared" ca="1" si="123"/>
        <v>#NAME?</v>
      </c>
      <c r="K105" s="1836" t="e">
        <f t="shared" ca="1" si="123"/>
        <v>#NAME?</v>
      </c>
      <c r="L105" s="1836" t="e">
        <f t="shared" ca="1" si="123"/>
        <v>#NAME?</v>
      </c>
      <c r="M105" s="1836" t="e">
        <f t="shared" ca="1" si="123"/>
        <v>#NAME?</v>
      </c>
      <c r="N105" s="1836" t="e">
        <f t="shared" ca="1" si="123"/>
        <v>#NAME?</v>
      </c>
      <c r="O105" s="1837" t="e">
        <f t="shared" ca="1" si="123"/>
        <v>#NAME?</v>
      </c>
      <c r="P105" s="1838" t="e">
        <f t="shared" ca="1" si="123"/>
        <v>#NAME?</v>
      </c>
      <c r="Q105" s="1849"/>
    </row>
    <row r="108" spans="1:17" s="1839" customFormat="1" ht="3" customHeight="1" x14ac:dyDescent="0.2"/>
    <row r="109" spans="1:17" x14ac:dyDescent="0.2">
      <c r="A109" s="1849"/>
      <c r="B109" s="1849"/>
      <c r="C109" s="1849"/>
      <c r="D109" s="1849"/>
      <c r="E109" s="1849"/>
      <c r="F109" s="1849"/>
      <c r="G109" s="1849"/>
      <c r="H109" s="1849"/>
      <c r="I109" s="1849"/>
      <c r="J109" s="1849"/>
      <c r="K109" s="1849"/>
      <c r="L109" s="1849"/>
      <c r="M109" s="1849"/>
      <c r="N109" s="1849"/>
      <c r="O109" s="1849"/>
      <c r="P109" s="1849"/>
      <c r="Q109" s="1849"/>
    </row>
    <row r="110" spans="1:17" x14ac:dyDescent="0.2">
      <c r="A110" s="1849"/>
      <c r="B110" s="1850" t="s">
        <v>73</v>
      </c>
      <c r="C110" s="1849"/>
      <c r="D110" s="1849"/>
      <c r="E110" s="1849"/>
      <c r="F110" s="1849"/>
      <c r="G110" s="1849"/>
      <c r="H110" s="1849"/>
      <c r="I110" s="1849"/>
      <c r="J110" s="1849"/>
      <c r="K110" s="1849"/>
      <c r="L110" s="1849"/>
      <c r="M110" s="1849"/>
      <c r="N110" s="1849"/>
      <c r="O110" s="1849"/>
      <c r="P110" s="1849"/>
      <c r="Q110" s="1849"/>
    </row>
    <row r="111" spans="1:17" x14ac:dyDescent="0.2">
      <c r="A111" s="1849"/>
      <c r="B111" s="1849"/>
      <c r="C111" s="1849"/>
      <c r="D111" s="1849"/>
      <c r="E111" s="1849"/>
      <c r="F111" s="1849"/>
      <c r="G111" s="1849"/>
      <c r="H111" s="1849"/>
      <c r="I111" s="1849"/>
      <c r="J111" s="1849"/>
      <c r="K111" s="1849"/>
      <c r="L111" s="1849"/>
      <c r="M111" s="1849"/>
      <c r="N111" s="1849"/>
      <c r="O111" s="1849"/>
      <c r="P111" s="1849"/>
      <c r="Q111" s="1849"/>
    </row>
    <row r="112" spans="1:17" ht="16.25" customHeight="1" x14ac:dyDescent="0.2">
      <c r="A112" s="1849"/>
      <c r="B112" s="2863" t="s">
        <v>189</v>
      </c>
      <c r="C112" s="2865"/>
      <c r="D112" s="1851" t="e">
        <f ca="1">Capacity!D117</f>
        <v>#NAME?</v>
      </c>
      <c r="E112" s="1849"/>
      <c r="F112" s="1849"/>
      <c r="G112" s="1849"/>
      <c r="H112" s="1849"/>
      <c r="I112" s="1849"/>
      <c r="J112" s="1849"/>
      <c r="K112" s="1849"/>
      <c r="L112" s="1849"/>
      <c r="M112" s="1849"/>
      <c r="N112" s="1849"/>
      <c r="O112" s="1849"/>
      <c r="P112" s="1849"/>
      <c r="Q112" s="1849"/>
    </row>
    <row r="113" spans="1:17" x14ac:dyDescent="0.2">
      <c r="A113" s="1849"/>
      <c r="B113" s="1849"/>
      <c r="C113" s="1849"/>
      <c r="D113" s="1849"/>
      <c r="E113" s="1849"/>
      <c r="F113" s="1849"/>
      <c r="G113" s="1849"/>
      <c r="H113" s="1849"/>
      <c r="I113" s="1849"/>
      <c r="J113" s="1849"/>
      <c r="K113" s="1849"/>
      <c r="L113" s="1849"/>
      <c r="M113" s="1849"/>
      <c r="N113" s="1849"/>
      <c r="O113" s="1849"/>
      <c r="P113" s="1849"/>
      <c r="Q113" s="1849"/>
    </row>
    <row r="114" spans="1:17" ht="15" customHeight="1" x14ac:dyDescent="0.2">
      <c r="A114" s="1849"/>
      <c r="B114" s="2847" t="s">
        <v>109</v>
      </c>
      <c r="C114" s="1870" t="s">
        <v>190</v>
      </c>
      <c r="D114" s="1853" t="e">
        <f ca="1">ROUNDDOWN(Capacity!H101/12,0)</f>
        <v>#NAME?</v>
      </c>
      <c r="E114" s="1849"/>
      <c r="F114" s="1849"/>
      <c r="G114" s="1849"/>
      <c r="H114" s="1849"/>
      <c r="I114" s="1849"/>
      <c r="J114" s="1849"/>
      <c r="K114" s="1849"/>
      <c r="L114" s="1849"/>
      <c r="M114" s="1849"/>
      <c r="N114" s="1849"/>
      <c r="O114" s="1849"/>
      <c r="P114" s="1849"/>
      <c r="Q114" s="1849"/>
    </row>
    <row r="115" spans="1:17" x14ac:dyDescent="0.2">
      <c r="A115" s="1849"/>
      <c r="B115" s="2848"/>
      <c r="C115" s="1871" t="s">
        <v>191</v>
      </c>
      <c r="D115" s="1855" t="e">
        <f ca="1">ROUNDDOWN(D114/4,0)</f>
        <v>#NAME?</v>
      </c>
      <c r="E115" s="1849"/>
      <c r="F115" s="1849"/>
      <c r="G115" s="1849"/>
      <c r="H115" s="1849"/>
      <c r="I115" s="1849"/>
      <c r="J115" s="1849"/>
      <c r="K115" s="1849"/>
      <c r="L115" s="1849"/>
      <c r="M115" s="1849"/>
      <c r="N115" s="1849"/>
      <c r="O115" s="1849"/>
      <c r="P115" s="1849"/>
      <c r="Q115" s="1849"/>
    </row>
    <row r="116" spans="1:17" x14ac:dyDescent="0.2">
      <c r="A116" s="1849"/>
      <c r="B116" s="1849"/>
      <c r="C116" s="1849"/>
      <c r="D116" s="1849"/>
      <c r="E116" s="1849"/>
      <c r="F116" s="1849"/>
      <c r="G116" s="1849"/>
      <c r="H116" s="1849"/>
      <c r="I116" s="1849"/>
      <c r="J116" s="1849"/>
      <c r="K116" s="1849"/>
      <c r="L116" s="1849"/>
      <c r="M116" s="1849"/>
      <c r="N116" s="1849"/>
      <c r="O116" s="1849"/>
      <c r="P116" s="1849"/>
      <c r="Q116" s="1849"/>
    </row>
    <row r="117" spans="1:17" x14ac:dyDescent="0.2">
      <c r="A117" s="1849"/>
      <c r="B117" s="1856" t="s">
        <v>192</v>
      </c>
      <c r="C117" s="1857"/>
      <c r="D117" s="1798">
        <v>1</v>
      </c>
      <c r="E117" s="1798">
        <v>2</v>
      </c>
      <c r="F117" s="1798">
        <v>3</v>
      </c>
      <c r="G117" s="1798">
        <v>4</v>
      </c>
      <c r="H117" s="1798">
        <v>5</v>
      </c>
      <c r="I117" s="1798">
        <v>6</v>
      </c>
      <c r="J117" s="1798">
        <v>7</v>
      </c>
      <c r="K117" s="1798">
        <v>8</v>
      </c>
      <c r="L117" s="1798">
        <v>9</v>
      </c>
      <c r="M117" s="1798">
        <v>10</v>
      </c>
      <c r="N117" s="1798">
        <v>11</v>
      </c>
      <c r="O117" s="1798">
        <v>12</v>
      </c>
      <c r="P117" s="1799" t="s">
        <v>128</v>
      </c>
      <c r="Q117" s="1849"/>
    </row>
    <row r="118" spans="1:17" x14ac:dyDescent="0.2">
      <c r="A118" s="1849"/>
      <c r="B118" s="1858" t="s">
        <v>193</v>
      </c>
      <c r="C118" s="1859"/>
      <c r="D118" s="1860" t="e">
        <f t="shared" ref="D118:O118" ca="1" si="124">$P118*C9</f>
        <v>#NAME?</v>
      </c>
      <c r="E118" s="1802" t="e">
        <f t="shared" ca="1" si="124"/>
        <v>#NAME?</v>
      </c>
      <c r="F118" s="1802" t="e">
        <f t="shared" ca="1" si="124"/>
        <v>#NAME?</v>
      </c>
      <c r="G118" s="1802" t="e">
        <f t="shared" ca="1" si="124"/>
        <v>#NAME?</v>
      </c>
      <c r="H118" s="1802" t="e">
        <f t="shared" ca="1" si="124"/>
        <v>#NAME?</v>
      </c>
      <c r="I118" s="1802" t="e">
        <f t="shared" ca="1" si="124"/>
        <v>#NAME?</v>
      </c>
      <c r="J118" s="1802" t="e">
        <f t="shared" ca="1" si="124"/>
        <v>#NAME?</v>
      </c>
      <c r="K118" s="1802" t="e">
        <f t="shared" ca="1" si="124"/>
        <v>#NAME?</v>
      </c>
      <c r="L118" s="1802" t="e">
        <f t="shared" ca="1" si="124"/>
        <v>#NAME?</v>
      </c>
      <c r="M118" s="1802" t="e">
        <f t="shared" ca="1" si="124"/>
        <v>#NAME?</v>
      </c>
      <c r="N118" s="1802" t="e">
        <f t="shared" ca="1" si="124"/>
        <v>#NAME?</v>
      </c>
      <c r="O118" s="1802" t="e">
        <f t="shared" ca="1" si="124"/>
        <v>#NAME?</v>
      </c>
      <c r="P118" s="1803" t="e">
        <f ca="1">('BASES MODEL (Base Case)'!E37+Inventory!F35)</f>
        <v>#NAME?</v>
      </c>
      <c r="Q118" s="1849"/>
    </row>
    <row r="119" spans="1:17" x14ac:dyDescent="0.2">
      <c r="A119" s="1849"/>
      <c r="B119" s="1861" t="s">
        <v>194</v>
      </c>
      <c r="C119" s="1862"/>
      <c r="D119" s="1808"/>
      <c r="E119" s="1808"/>
      <c r="F119" s="1808"/>
      <c r="G119" s="1808"/>
      <c r="H119" s="1808"/>
      <c r="I119" s="1808"/>
      <c r="J119" s="1808"/>
      <c r="K119" s="1808"/>
      <c r="L119" s="1808"/>
      <c r="M119" s="1808"/>
      <c r="N119" s="1808"/>
      <c r="O119" s="1809"/>
      <c r="P119" s="1810"/>
      <c r="Q119" s="1849"/>
    </row>
    <row r="120" spans="1:17" x14ac:dyDescent="0.2">
      <c r="A120" s="1849"/>
      <c r="B120" s="1863" t="s">
        <v>195</v>
      </c>
      <c r="C120" s="1862"/>
      <c r="D120" s="1864" t="e">
        <f t="shared" ref="D120:O120" ca="1" si="125">IF(D118&lt;$D114,D118,$D114)</f>
        <v>#NAME?</v>
      </c>
      <c r="E120" s="1813" t="e">
        <f t="shared" ca="1" si="125"/>
        <v>#NAME?</v>
      </c>
      <c r="F120" s="1813" t="e">
        <f t="shared" ca="1" si="125"/>
        <v>#NAME?</v>
      </c>
      <c r="G120" s="1813" t="e">
        <f t="shared" ca="1" si="125"/>
        <v>#NAME?</v>
      </c>
      <c r="H120" s="1813" t="e">
        <f ca="1">D114</f>
        <v>#NAME?</v>
      </c>
      <c r="I120" s="1813" t="e">
        <f ca="1">D114</f>
        <v>#NAME?</v>
      </c>
      <c r="J120" s="1813" t="e">
        <f t="shared" ca="1" si="125"/>
        <v>#NAME?</v>
      </c>
      <c r="K120" s="1813" t="e">
        <f t="shared" ca="1" si="125"/>
        <v>#NAME?</v>
      </c>
      <c r="L120" s="1813" t="e">
        <f t="shared" ca="1" si="125"/>
        <v>#NAME?</v>
      </c>
      <c r="M120" s="1813" t="e">
        <f t="shared" ca="1" si="125"/>
        <v>#NAME?</v>
      </c>
      <c r="N120" s="1813" t="e">
        <f t="shared" ca="1" si="125"/>
        <v>#NAME?</v>
      </c>
      <c r="O120" s="1813" t="e">
        <f t="shared" ca="1" si="125"/>
        <v>#NAME?</v>
      </c>
      <c r="P120" s="1810" t="e">
        <f ca="1">SUM(D120:O120)</f>
        <v>#NAME?</v>
      </c>
      <c r="Q120" s="1849"/>
    </row>
    <row r="121" spans="1:17" x14ac:dyDescent="0.2">
      <c r="A121" s="1849"/>
      <c r="B121" s="1861" t="s">
        <v>196</v>
      </c>
      <c r="C121" s="1862"/>
      <c r="D121" s="1865" t="e">
        <f ca="1">D118-D120</f>
        <v>#NAME?</v>
      </c>
      <c r="E121" s="1814" t="e">
        <f t="shared" ref="E121:G121" ca="1" si="126">E118-E120</f>
        <v>#NAME?</v>
      </c>
      <c r="F121" s="1814" t="e">
        <f t="shared" ca="1" si="126"/>
        <v>#NAME?</v>
      </c>
      <c r="G121" s="1814" t="e">
        <f t="shared" ca="1" si="126"/>
        <v>#NAME?</v>
      </c>
      <c r="H121" s="1814"/>
      <c r="I121" s="1814"/>
      <c r="J121" s="1814">
        <v>0</v>
      </c>
      <c r="K121" s="1814">
        <v>0</v>
      </c>
      <c r="L121" s="1814" t="e">
        <f ca="1">L118-L120-425-780-455+702+16</f>
        <v>#NAME?</v>
      </c>
      <c r="M121" s="1814" t="e">
        <f t="shared" ref="M121:O121" ca="1" si="127">M118-M120</f>
        <v>#NAME?</v>
      </c>
      <c r="N121" s="1814" t="e">
        <f t="shared" ca="1" si="127"/>
        <v>#NAME?</v>
      </c>
      <c r="O121" s="1814" t="e">
        <f t="shared" ca="1" si="127"/>
        <v>#NAME?</v>
      </c>
      <c r="P121" s="1810" t="e">
        <f ca="1">SUM(D121:O121)</f>
        <v>#NAME?</v>
      </c>
      <c r="Q121" s="1849"/>
    </row>
    <row r="122" spans="1:17" x14ac:dyDescent="0.2">
      <c r="A122" s="1849"/>
      <c r="B122" s="1861" t="s">
        <v>197</v>
      </c>
      <c r="C122" s="1862"/>
      <c r="D122" s="1865">
        <v>0</v>
      </c>
      <c r="E122" s="1814">
        <v>0</v>
      </c>
      <c r="F122" s="1814">
        <v>0</v>
      </c>
      <c r="G122" s="1814">
        <v>0</v>
      </c>
      <c r="H122" s="1814">
        <v>0</v>
      </c>
      <c r="I122" s="1814">
        <v>0</v>
      </c>
      <c r="J122" s="1814">
        <v>0</v>
      </c>
      <c r="K122" s="1814">
        <v>0</v>
      </c>
      <c r="L122" s="1814"/>
      <c r="M122" s="1814">
        <v>0</v>
      </c>
      <c r="N122" s="1814">
        <v>0</v>
      </c>
      <c r="O122" s="1814"/>
      <c r="P122" s="1810">
        <f>SUM(D122:O122)</f>
        <v>0</v>
      </c>
      <c r="Q122" s="1849"/>
    </row>
    <row r="123" spans="1:17" x14ac:dyDescent="0.2">
      <c r="A123" s="1849"/>
      <c r="B123" s="1861" t="s">
        <v>198</v>
      </c>
      <c r="C123" s="1862"/>
      <c r="D123" s="1865">
        <v>0</v>
      </c>
      <c r="E123" s="1814">
        <v>0</v>
      </c>
      <c r="F123" s="1814">
        <v>0</v>
      </c>
      <c r="G123" s="1814">
        <v>0</v>
      </c>
      <c r="H123" s="1814">
        <v>0</v>
      </c>
      <c r="I123" s="1814">
        <v>0</v>
      </c>
      <c r="J123" s="1814">
        <v>0</v>
      </c>
      <c r="K123" s="1814">
        <v>0</v>
      </c>
      <c r="L123" s="1814">
        <v>0</v>
      </c>
      <c r="M123" s="1814">
        <v>0</v>
      </c>
      <c r="N123" s="1814">
        <v>0</v>
      </c>
      <c r="O123" s="1814">
        <v>0</v>
      </c>
      <c r="P123" s="1810">
        <f>SUM(D123:O123)</f>
        <v>0</v>
      </c>
      <c r="Q123" s="1849"/>
    </row>
    <row r="124" spans="1:17" x14ac:dyDescent="0.2">
      <c r="A124" s="1849"/>
      <c r="B124" s="1863" t="s">
        <v>199</v>
      </c>
      <c r="C124" s="1862"/>
      <c r="D124" s="1808" t="e">
        <f t="shared" ref="D124" ca="1" si="128">SUM(D120:D123)-D118</f>
        <v>#NAME?</v>
      </c>
      <c r="E124" s="1808" t="e">
        <f t="shared" ref="E124" ca="1" si="129">SUM(E120:E123)-E118</f>
        <v>#NAME?</v>
      </c>
      <c r="F124" s="1808" t="e">
        <f t="shared" ref="F124" ca="1" si="130">SUM(F120:F123)-F118</f>
        <v>#NAME?</v>
      </c>
      <c r="G124" s="1808" t="e">
        <f t="shared" ref="G124" ca="1" si="131">SUM(G120:G123)-G118</f>
        <v>#NAME?</v>
      </c>
      <c r="H124" s="1808" t="e">
        <f t="shared" ref="H124" ca="1" si="132">SUM(H120:H123)-H118</f>
        <v>#NAME?</v>
      </c>
      <c r="I124" s="1808" t="e">
        <f t="shared" ref="I124" ca="1" si="133">SUM(I120:I123)-I118</f>
        <v>#NAME?</v>
      </c>
      <c r="J124" s="1808" t="e">
        <f t="shared" ref="J124" ca="1" si="134">SUM(J120:J123)-J118</f>
        <v>#NAME?</v>
      </c>
      <c r="K124" s="1808" t="e">
        <f t="shared" ref="K124" ca="1" si="135">SUM(K120:K123)-K118</f>
        <v>#NAME?</v>
      </c>
      <c r="L124" s="1808" t="e">
        <f t="shared" ref="L124" ca="1" si="136">SUM(L120:L123)-L118</f>
        <v>#NAME?</v>
      </c>
      <c r="M124" s="1808" t="e">
        <f t="shared" ref="M124" ca="1" si="137">SUM(M120:M123)-M118</f>
        <v>#NAME?</v>
      </c>
      <c r="N124" s="1808" t="e">
        <f t="shared" ref="N124" ca="1" si="138">SUM(N120:N123)-N118</f>
        <v>#NAME?</v>
      </c>
      <c r="O124" s="1809" t="e">
        <f t="shared" ref="O124" ca="1" si="139">SUM(O120:O123)-O118</f>
        <v>#NAME?</v>
      </c>
      <c r="P124" s="1810" t="e">
        <f ca="1">SUM(D124:O124)</f>
        <v>#NAME?</v>
      </c>
      <c r="Q124" s="1849"/>
    </row>
    <row r="125" spans="1:17" x14ac:dyDescent="0.2">
      <c r="A125" s="1849"/>
      <c r="B125" s="1861" t="s">
        <v>13</v>
      </c>
      <c r="C125" s="1862"/>
      <c r="D125" s="1808"/>
      <c r="E125" s="1808"/>
      <c r="F125" s="1808"/>
      <c r="G125" s="1808"/>
      <c r="H125" s="1808"/>
      <c r="I125" s="1808"/>
      <c r="J125" s="1808"/>
      <c r="K125" s="1808"/>
      <c r="L125" s="1808"/>
      <c r="M125" s="1808"/>
      <c r="N125" s="1808"/>
      <c r="O125" s="1809"/>
      <c r="P125" s="1810"/>
      <c r="Q125" s="1849"/>
    </row>
    <row r="126" spans="1:17" x14ac:dyDescent="0.2">
      <c r="A126" s="1849"/>
      <c r="B126" s="1861" t="s">
        <v>200</v>
      </c>
      <c r="C126" s="1862"/>
      <c r="D126" s="1808">
        <f>C127</f>
        <v>0</v>
      </c>
      <c r="E126" s="1808" t="e">
        <f ca="1">D127</f>
        <v>#NAME?</v>
      </c>
      <c r="F126" s="1808" t="e">
        <f t="shared" ref="F126" ca="1" si="140">E127</f>
        <v>#NAME?</v>
      </c>
      <c r="G126" s="1808" t="e">
        <f t="shared" ref="G126" ca="1" si="141">F127</f>
        <v>#NAME?</v>
      </c>
      <c r="H126" s="1808" t="e">
        <f t="shared" ref="H126" ca="1" si="142">G127</f>
        <v>#NAME?</v>
      </c>
      <c r="I126" s="1808" t="e">
        <f t="shared" ref="I126" ca="1" si="143">H127</f>
        <v>#NAME?</v>
      </c>
      <c r="J126" s="1808" t="e">
        <f t="shared" ref="J126" ca="1" si="144">I127</f>
        <v>#NAME?</v>
      </c>
      <c r="K126" s="1808" t="e">
        <f t="shared" ref="K126" ca="1" si="145">J127</f>
        <v>#NAME?</v>
      </c>
      <c r="L126" s="1808" t="e">
        <f t="shared" ref="L126" ca="1" si="146">K127</f>
        <v>#NAME?</v>
      </c>
      <c r="M126" s="1808" t="e">
        <f t="shared" ref="M126" ca="1" si="147">L127</f>
        <v>#NAME?</v>
      </c>
      <c r="N126" s="1808" t="e">
        <f t="shared" ref="N126" ca="1" si="148">M127</f>
        <v>#NAME?</v>
      </c>
      <c r="O126" s="1808" t="e">
        <f t="shared" ref="O126" ca="1" si="149">N127</f>
        <v>#NAME?</v>
      </c>
      <c r="P126" s="1810"/>
      <c r="Q126" s="1849"/>
    </row>
    <row r="127" spans="1:17" x14ac:dyDescent="0.2">
      <c r="A127" s="1849"/>
      <c r="B127" s="1861" t="s">
        <v>201</v>
      </c>
      <c r="C127" s="1866"/>
      <c r="D127" s="1808" t="e">
        <f ca="1">MAX(D126+D124-C129,0)</f>
        <v>#NAME?</v>
      </c>
      <c r="E127" s="1808" t="e">
        <f ca="1">MAX(E126+E124-D129,0)</f>
        <v>#NAME?</v>
      </c>
      <c r="F127" s="1808" t="e">
        <f t="shared" ref="F127" ca="1" si="150">MAX(F126+F124-E129,0)</f>
        <v>#NAME?</v>
      </c>
      <c r="G127" s="1808" t="e">
        <f t="shared" ref="G127" ca="1" si="151">MAX(G126+G124-F129,0)</f>
        <v>#NAME?</v>
      </c>
      <c r="H127" s="1808" t="e">
        <f t="shared" ref="H127" ca="1" si="152">MAX(H126+H124-G129,0)</f>
        <v>#NAME?</v>
      </c>
      <c r="I127" s="1808" t="e">
        <f t="shared" ref="I127" ca="1" si="153">MAX(I126+I124-H129,0)</f>
        <v>#NAME?</v>
      </c>
      <c r="J127" s="1808" t="e">
        <f t="shared" ref="J127" ca="1" si="154">MAX(J126+J124-I129,0)</f>
        <v>#NAME?</v>
      </c>
      <c r="K127" s="1808" t="e">
        <f t="shared" ref="K127" ca="1" si="155">MAX(K126+K124-J129,0)</f>
        <v>#NAME?</v>
      </c>
      <c r="L127" s="1808" t="e">
        <f t="shared" ref="L127" ca="1" si="156">MAX(L126+L124-K129,0)</f>
        <v>#NAME?</v>
      </c>
      <c r="M127" s="1808" t="e">
        <f t="shared" ref="M127" ca="1" si="157">MAX(M126+M124-L129,0)</f>
        <v>#NAME?</v>
      </c>
      <c r="N127" s="1808" t="e">
        <f t="shared" ref="N127" ca="1" si="158">MAX(N126+N124-M129,0)</f>
        <v>#NAME?</v>
      </c>
      <c r="O127" s="1808" t="e">
        <f t="shared" ref="O127" ca="1" si="159">MAX(O126+O124-N129,0)</f>
        <v>#NAME?</v>
      </c>
      <c r="P127" s="1810"/>
      <c r="Q127" s="1849"/>
    </row>
    <row r="128" spans="1:17" x14ac:dyDescent="0.2">
      <c r="A128" s="1849"/>
      <c r="B128" s="1861" t="s">
        <v>202</v>
      </c>
      <c r="C128" s="1862"/>
      <c r="D128" s="1808" t="e">
        <f ca="1">(D126+D127)/2</f>
        <v>#NAME?</v>
      </c>
      <c r="E128" s="1808" t="e">
        <f t="shared" ref="E128:O128" ca="1" si="160">(E126+E127)/2</f>
        <v>#NAME?</v>
      </c>
      <c r="F128" s="1808" t="e">
        <f t="shared" ca="1" si="160"/>
        <v>#NAME?</v>
      </c>
      <c r="G128" s="1808" t="e">
        <f t="shared" ca="1" si="160"/>
        <v>#NAME?</v>
      </c>
      <c r="H128" s="1808" t="e">
        <f t="shared" ca="1" si="160"/>
        <v>#NAME?</v>
      </c>
      <c r="I128" s="1808" t="e">
        <f t="shared" ca="1" si="160"/>
        <v>#NAME?</v>
      </c>
      <c r="J128" s="1808" t="e">
        <f t="shared" ca="1" si="160"/>
        <v>#NAME?</v>
      </c>
      <c r="K128" s="1808" t="e">
        <f t="shared" ca="1" si="160"/>
        <v>#NAME?</v>
      </c>
      <c r="L128" s="1808" t="e">
        <f t="shared" ca="1" si="160"/>
        <v>#NAME?</v>
      </c>
      <c r="M128" s="1808" t="e">
        <f t="shared" ca="1" si="160"/>
        <v>#NAME?</v>
      </c>
      <c r="N128" s="1816" t="e">
        <f t="shared" ca="1" si="160"/>
        <v>#NAME?</v>
      </c>
      <c r="O128" s="1809" t="e">
        <f t="shared" ca="1" si="160"/>
        <v>#NAME?</v>
      </c>
      <c r="P128" s="1810" t="e">
        <f ca="1">AVERAGE(D128:O128)</f>
        <v>#NAME?</v>
      </c>
      <c r="Q128" s="1849"/>
    </row>
    <row r="129" spans="1:17" x14ac:dyDescent="0.2">
      <c r="A129" s="1849"/>
      <c r="B129" s="1867" t="s">
        <v>203</v>
      </c>
      <c r="C129" s="1868"/>
      <c r="D129" s="1808">
        <v>0</v>
      </c>
      <c r="E129" s="1808" t="e">
        <f ca="1">MAX(D129-E124-E126,0)</f>
        <v>#NAME?</v>
      </c>
      <c r="F129" s="1808" t="e">
        <f t="shared" ref="F129" ca="1" si="161">MAX(E129-F124-F126,0)</f>
        <v>#NAME?</v>
      </c>
      <c r="G129" s="1808" t="e">
        <f t="shared" ref="G129" ca="1" si="162">MAX(F129-G124-G126,0)</f>
        <v>#NAME?</v>
      </c>
      <c r="H129" s="1808" t="e">
        <f t="shared" ref="H129" ca="1" si="163">MAX(G129-H124-H126,0)</f>
        <v>#NAME?</v>
      </c>
      <c r="I129" s="1808" t="e">
        <f t="shared" ref="I129" ca="1" si="164">MAX(H129-I124-I126,0)</f>
        <v>#NAME?</v>
      </c>
      <c r="J129" s="1808" t="e">
        <f t="shared" ref="J129" ca="1" si="165">MAX(I129-J124-J126,0)</f>
        <v>#NAME?</v>
      </c>
      <c r="K129" s="1808" t="e">
        <f t="shared" ref="K129" ca="1" si="166">MAX(J129-K124-K126,0)</f>
        <v>#NAME?</v>
      </c>
      <c r="L129" s="1808" t="e">
        <f t="shared" ref="L129" ca="1" si="167">MAX(K129-L124-L126,0)</f>
        <v>#NAME?</v>
      </c>
      <c r="M129" s="1808" t="e">
        <f t="shared" ref="M129" ca="1" si="168">MAX(L129-M124-M126,0)</f>
        <v>#NAME?</v>
      </c>
      <c r="N129" s="1808" t="e">
        <f t="shared" ref="N129" ca="1" si="169">MAX(M129-N124-N126,0)</f>
        <v>#NAME?</v>
      </c>
      <c r="O129" s="1808" t="e">
        <f t="shared" ref="O129" ca="1" si="170">MAX(N129-O124-O126,0)</f>
        <v>#NAME?</v>
      </c>
      <c r="P129" s="1819" t="e">
        <f ca="1">SUM(D129:O129)</f>
        <v>#NAME?</v>
      </c>
      <c r="Q129" s="1849"/>
    </row>
    <row r="130" spans="1:17" x14ac:dyDescent="0.2">
      <c r="A130" s="1849"/>
      <c r="B130" s="1812" t="s">
        <v>204</v>
      </c>
      <c r="C130" s="1820"/>
      <c r="D130" s="1821"/>
      <c r="E130" s="1822"/>
      <c r="F130" s="1822"/>
      <c r="G130" s="1822"/>
      <c r="H130" s="1822"/>
      <c r="I130" s="1822"/>
      <c r="J130" s="1822"/>
      <c r="K130" s="1822"/>
      <c r="L130" s="1822"/>
      <c r="M130" s="1822"/>
      <c r="N130" s="1822"/>
      <c r="O130" s="1823"/>
      <c r="P130" s="1824"/>
      <c r="Q130" s="1849"/>
    </row>
    <row r="131" spans="1:17" x14ac:dyDescent="0.2">
      <c r="A131" s="1849"/>
      <c r="B131" s="1812" t="s">
        <v>205</v>
      </c>
      <c r="C131" s="1825" t="e">
        <f ca="1">Salaries!G108/P118</f>
        <v>#NAME?</v>
      </c>
      <c r="D131" s="1826" t="e">
        <f ca="1">D120*$C131</f>
        <v>#NAME?</v>
      </c>
      <c r="E131" s="1827" t="e">
        <f t="shared" ref="E131:O131" ca="1" si="171">E120*$C131</f>
        <v>#NAME?</v>
      </c>
      <c r="F131" s="1827" t="e">
        <f t="shared" ca="1" si="171"/>
        <v>#NAME?</v>
      </c>
      <c r="G131" s="1827" t="e">
        <f t="shared" ca="1" si="171"/>
        <v>#NAME?</v>
      </c>
      <c r="H131" s="1827" t="e">
        <f t="shared" ca="1" si="171"/>
        <v>#NAME?</v>
      </c>
      <c r="I131" s="1827" t="e">
        <f t="shared" ca="1" si="171"/>
        <v>#NAME?</v>
      </c>
      <c r="J131" s="1827" t="e">
        <f t="shared" ca="1" si="171"/>
        <v>#NAME?</v>
      </c>
      <c r="K131" s="1827" t="e">
        <f t="shared" ca="1" si="171"/>
        <v>#NAME?</v>
      </c>
      <c r="L131" s="1827" t="e">
        <f t="shared" ca="1" si="171"/>
        <v>#NAME?</v>
      </c>
      <c r="M131" s="1827" t="e">
        <f t="shared" ca="1" si="171"/>
        <v>#NAME?</v>
      </c>
      <c r="N131" s="1827" t="e">
        <f t="shared" ca="1" si="171"/>
        <v>#NAME?</v>
      </c>
      <c r="O131" s="1828" t="e">
        <f t="shared" ca="1" si="171"/>
        <v>#NAME?</v>
      </c>
      <c r="P131" s="1828" t="e">
        <f t="shared" ref="P131:P136" ca="1" si="172">SUM(D131:O131)</f>
        <v>#NAME?</v>
      </c>
      <c r="Q131" s="1849"/>
    </row>
    <row r="132" spans="1:17" x14ac:dyDescent="0.2">
      <c r="A132" s="1849"/>
      <c r="B132" s="1812" t="s">
        <v>206</v>
      </c>
      <c r="C132" s="1829" t="e">
        <f ca="1">C131*1.73</f>
        <v>#NAME?</v>
      </c>
      <c r="D132" s="1826" t="e">
        <f ca="1">D121*$C132</f>
        <v>#NAME?</v>
      </c>
      <c r="E132" s="1827" t="e">
        <f t="shared" ref="E132:O132" ca="1" si="173">E121*$C132</f>
        <v>#NAME?</v>
      </c>
      <c r="F132" s="1827" t="e">
        <f t="shared" ca="1" si="173"/>
        <v>#NAME?</v>
      </c>
      <c r="G132" s="1827" t="e">
        <f t="shared" ca="1" si="173"/>
        <v>#NAME?</v>
      </c>
      <c r="H132" s="1827" t="e">
        <f t="shared" ca="1" si="173"/>
        <v>#NAME?</v>
      </c>
      <c r="I132" s="1827" t="e">
        <f t="shared" ca="1" si="173"/>
        <v>#NAME?</v>
      </c>
      <c r="J132" s="1827" t="e">
        <f t="shared" ca="1" si="173"/>
        <v>#NAME?</v>
      </c>
      <c r="K132" s="1827" t="e">
        <f t="shared" ca="1" si="173"/>
        <v>#NAME?</v>
      </c>
      <c r="L132" s="1827" t="e">
        <f t="shared" ca="1" si="173"/>
        <v>#NAME?</v>
      </c>
      <c r="M132" s="1827" t="e">
        <f t="shared" ca="1" si="173"/>
        <v>#NAME?</v>
      </c>
      <c r="N132" s="1827" t="e">
        <f t="shared" ca="1" si="173"/>
        <v>#NAME?</v>
      </c>
      <c r="O132" s="1828" t="e">
        <f t="shared" ca="1" si="173"/>
        <v>#NAME?</v>
      </c>
      <c r="P132" s="1828" t="e">
        <f t="shared" ca="1" si="172"/>
        <v>#NAME?</v>
      </c>
      <c r="Q132" s="1849"/>
    </row>
    <row r="133" spans="1:17" x14ac:dyDescent="0.2">
      <c r="A133" s="1849"/>
      <c r="B133" s="1812" t="s">
        <v>207</v>
      </c>
      <c r="C133" s="1829" t="e">
        <f ca="1">C131*1.5</f>
        <v>#NAME?</v>
      </c>
      <c r="D133" s="1826" t="e">
        <f ca="1">D122*$C133</f>
        <v>#NAME?</v>
      </c>
      <c r="E133" s="1827" t="e">
        <f t="shared" ref="E133:O133" ca="1" si="174">E122*$C133</f>
        <v>#NAME?</v>
      </c>
      <c r="F133" s="1827" t="e">
        <f t="shared" ca="1" si="174"/>
        <v>#NAME?</v>
      </c>
      <c r="G133" s="1827" t="e">
        <f t="shared" ca="1" si="174"/>
        <v>#NAME?</v>
      </c>
      <c r="H133" s="1827" t="e">
        <f t="shared" ca="1" si="174"/>
        <v>#NAME?</v>
      </c>
      <c r="I133" s="1827" t="e">
        <f t="shared" ca="1" si="174"/>
        <v>#NAME?</v>
      </c>
      <c r="J133" s="1827" t="e">
        <f t="shared" ca="1" si="174"/>
        <v>#NAME?</v>
      </c>
      <c r="K133" s="1827" t="e">
        <f t="shared" ca="1" si="174"/>
        <v>#NAME?</v>
      </c>
      <c r="L133" s="1827" t="e">
        <f t="shared" ca="1" si="174"/>
        <v>#NAME?</v>
      </c>
      <c r="M133" s="1827" t="e">
        <f t="shared" ca="1" si="174"/>
        <v>#NAME?</v>
      </c>
      <c r="N133" s="1827" t="e">
        <f t="shared" ca="1" si="174"/>
        <v>#NAME?</v>
      </c>
      <c r="O133" s="1828" t="e">
        <f t="shared" ca="1" si="174"/>
        <v>#NAME?</v>
      </c>
      <c r="P133" s="1828" t="e">
        <f t="shared" ca="1" si="172"/>
        <v>#NAME?</v>
      </c>
      <c r="Q133" s="1849"/>
    </row>
    <row r="134" spans="1:17" x14ac:dyDescent="0.2">
      <c r="A134" s="1849"/>
      <c r="B134" s="1812" t="s">
        <v>208</v>
      </c>
      <c r="C134" s="1829" t="e">
        <f ca="1">C131*2</f>
        <v>#NAME?</v>
      </c>
      <c r="D134" s="1826" t="e">
        <f ca="1">D123*$C134</f>
        <v>#NAME?</v>
      </c>
      <c r="E134" s="1827" t="e">
        <f t="shared" ref="E134:O134" ca="1" si="175">E123*$C134</f>
        <v>#NAME?</v>
      </c>
      <c r="F134" s="1827" t="e">
        <f t="shared" ca="1" si="175"/>
        <v>#NAME?</v>
      </c>
      <c r="G134" s="1827" t="e">
        <f t="shared" ca="1" si="175"/>
        <v>#NAME?</v>
      </c>
      <c r="H134" s="1827" t="e">
        <f t="shared" ca="1" si="175"/>
        <v>#NAME?</v>
      </c>
      <c r="I134" s="1827" t="e">
        <f t="shared" ca="1" si="175"/>
        <v>#NAME?</v>
      </c>
      <c r="J134" s="1827" t="e">
        <f t="shared" ca="1" si="175"/>
        <v>#NAME?</v>
      </c>
      <c r="K134" s="1827" t="e">
        <f t="shared" ca="1" si="175"/>
        <v>#NAME?</v>
      </c>
      <c r="L134" s="1827" t="e">
        <f t="shared" ca="1" si="175"/>
        <v>#NAME?</v>
      </c>
      <c r="M134" s="1827" t="e">
        <f t="shared" ca="1" si="175"/>
        <v>#NAME?</v>
      </c>
      <c r="N134" s="1827" t="e">
        <f t="shared" ca="1" si="175"/>
        <v>#NAME?</v>
      </c>
      <c r="O134" s="1828" t="e">
        <f t="shared" ca="1" si="175"/>
        <v>#NAME?</v>
      </c>
      <c r="P134" s="1828" t="e">
        <f t="shared" ca="1" si="172"/>
        <v>#NAME?</v>
      </c>
      <c r="Q134" s="1849"/>
    </row>
    <row r="135" spans="1:17" x14ac:dyDescent="0.2">
      <c r="A135" s="1849"/>
      <c r="B135" s="1812" t="s">
        <v>209</v>
      </c>
      <c r="C135" s="1829" t="e">
        <f ca="1">Inventory!L103/12</f>
        <v>#NAME?</v>
      </c>
      <c r="D135" s="1826" t="e">
        <f t="shared" ref="D135:E135" ca="1" si="176">D128*$C135</f>
        <v>#NAME?</v>
      </c>
      <c r="E135" s="1827" t="e">
        <f t="shared" ca="1" si="176"/>
        <v>#NAME?</v>
      </c>
      <c r="F135" s="1827" t="e">
        <f ca="1">F128*$C135</f>
        <v>#NAME?</v>
      </c>
      <c r="G135" s="1827" t="e">
        <f t="shared" ref="G135:O135" ca="1" si="177">G128*$C135</f>
        <v>#NAME?</v>
      </c>
      <c r="H135" s="1827" t="e">
        <f t="shared" ca="1" si="177"/>
        <v>#NAME?</v>
      </c>
      <c r="I135" s="1827" t="e">
        <f t="shared" ca="1" si="177"/>
        <v>#NAME?</v>
      </c>
      <c r="J135" s="1827" t="e">
        <f t="shared" ca="1" si="177"/>
        <v>#NAME?</v>
      </c>
      <c r="K135" s="1827" t="e">
        <f t="shared" ca="1" si="177"/>
        <v>#NAME?</v>
      </c>
      <c r="L135" s="1827" t="e">
        <f t="shared" ca="1" si="177"/>
        <v>#NAME?</v>
      </c>
      <c r="M135" s="1827" t="e">
        <f t="shared" ca="1" si="177"/>
        <v>#NAME?</v>
      </c>
      <c r="N135" s="1827" t="e">
        <f t="shared" ca="1" si="177"/>
        <v>#NAME?</v>
      </c>
      <c r="O135" s="1828" t="e">
        <f t="shared" ca="1" si="177"/>
        <v>#NAME?</v>
      </c>
      <c r="P135" s="1828" t="e">
        <f t="shared" ca="1" si="172"/>
        <v>#NAME?</v>
      </c>
      <c r="Q135" s="1849"/>
    </row>
    <row r="136" spans="1:17" x14ac:dyDescent="0.2">
      <c r="A136" s="1849"/>
      <c r="B136" s="1812" t="s">
        <v>210</v>
      </c>
      <c r="C136" s="1830" t="e">
        <f ca="1">(3*('Income Statement'!F11-'Income Statement'!F12))/P118</f>
        <v>#NAME?</v>
      </c>
      <c r="D136" s="1826" t="e">
        <f ca="1">D129*$C136</f>
        <v>#NAME?</v>
      </c>
      <c r="E136" s="1827" t="e">
        <f t="shared" ref="E136:O136" ca="1" si="178">E129*$C136</f>
        <v>#NAME?</v>
      </c>
      <c r="F136" s="1827" t="e">
        <f t="shared" ca="1" si="178"/>
        <v>#NAME?</v>
      </c>
      <c r="G136" s="1827" t="e">
        <f t="shared" ca="1" si="178"/>
        <v>#NAME?</v>
      </c>
      <c r="H136" s="1827" t="e">
        <f t="shared" ca="1" si="178"/>
        <v>#NAME?</v>
      </c>
      <c r="I136" s="1827" t="e">
        <f t="shared" ca="1" si="178"/>
        <v>#NAME?</v>
      </c>
      <c r="J136" s="1827" t="e">
        <f t="shared" ca="1" si="178"/>
        <v>#NAME?</v>
      </c>
      <c r="K136" s="1827" t="e">
        <f t="shared" ca="1" si="178"/>
        <v>#NAME?</v>
      </c>
      <c r="L136" s="1827" t="e">
        <f t="shared" ca="1" si="178"/>
        <v>#NAME?</v>
      </c>
      <c r="M136" s="1827" t="e">
        <f t="shared" ca="1" si="178"/>
        <v>#NAME?</v>
      </c>
      <c r="N136" s="1827" t="e">
        <f t="shared" ca="1" si="178"/>
        <v>#NAME?</v>
      </c>
      <c r="O136" s="1828" t="e">
        <f t="shared" ca="1" si="178"/>
        <v>#NAME?</v>
      </c>
      <c r="P136" s="1828" t="e">
        <f t="shared" ca="1" si="172"/>
        <v>#NAME?</v>
      </c>
      <c r="Q136" s="1849"/>
    </row>
    <row r="137" spans="1:17" x14ac:dyDescent="0.2">
      <c r="A137" s="1849"/>
      <c r="B137" s="1812" t="s">
        <v>211</v>
      </c>
      <c r="C137" s="1831"/>
      <c r="D137" s="1832"/>
      <c r="E137" s="1832"/>
      <c r="F137" s="1832"/>
      <c r="G137" s="1832"/>
      <c r="H137" s="1832"/>
      <c r="I137" s="1832"/>
      <c r="J137" s="1832"/>
      <c r="K137" s="1832"/>
      <c r="L137" s="1832"/>
      <c r="M137" s="1832"/>
      <c r="N137" s="1832"/>
      <c r="O137" s="1832"/>
      <c r="P137" s="1828">
        <f>SUM(D137:O137)</f>
        <v>0</v>
      </c>
      <c r="Q137" s="1849"/>
    </row>
    <row r="138" spans="1:17" x14ac:dyDescent="0.2">
      <c r="A138" s="1849"/>
      <c r="B138" s="1833" t="s">
        <v>128</v>
      </c>
      <c r="C138" s="1834"/>
      <c r="D138" s="1835" t="e">
        <f t="shared" ref="D138:P138" ca="1" si="179">SUM(D131:D137)</f>
        <v>#NAME?</v>
      </c>
      <c r="E138" s="1836" t="e">
        <f t="shared" ca="1" si="179"/>
        <v>#NAME?</v>
      </c>
      <c r="F138" s="1836" t="e">
        <f t="shared" ca="1" si="179"/>
        <v>#NAME?</v>
      </c>
      <c r="G138" s="1836" t="e">
        <f t="shared" ca="1" si="179"/>
        <v>#NAME?</v>
      </c>
      <c r="H138" s="1836" t="e">
        <f t="shared" ca="1" si="179"/>
        <v>#NAME?</v>
      </c>
      <c r="I138" s="1836" t="e">
        <f t="shared" ca="1" si="179"/>
        <v>#NAME?</v>
      </c>
      <c r="J138" s="1836" t="e">
        <f t="shared" ca="1" si="179"/>
        <v>#NAME?</v>
      </c>
      <c r="K138" s="1836" t="e">
        <f t="shared" ca="1" si="179"/>
        <v>#NAME?</v>
      </c>
      <c r="L138" s="1836" t="e">
        <f t="shared" ca="1" si="179"/>
        <v>#NAME?</v>
      </c>
      <c r="M138" s="1836" t="e">
        <f t="shared" ca="1" si="179"/>
        <v>#NAME?</v>
      </c>
      <c r="N138" s="1836" t="e">
        <f t="shared" ca="1" si="179"/>
        <v>#NAME?</v>
      </c>
      <c r="O138" s="1837" t="e">
        <f t="shared" ca="1" si="179"/>
        <v>#NAME?</v>
      </c>
      <c r="P138" s="1838" t="e">
        <f t="shared" ca="1" si="179"/>
        <v>#NAME?</v>
      </c>
      <c r="Q138" s="1849"/>
    </row>
    <row r="141" spans="1:17" s="1839" customFormat="1" ht="3" customHeight="1" x14ac:dyDescent="0.2"/>
    <row r="142" spans="1:17" x14ac:dyDescent="0.2">
      <c r="A142" s="1849"/>
      <c r="B142" s="1849"/>
      <c r="C142" s="1849"/>
      <c r="D142" s="1849"/>
      <c r="E142" s="1849"/>
      <c r="F142" s="1849"/>
      <c r="G142" s="1849"/>
      <c r="H142" s="1849"/>
      <c r="I142" s="1849"/>
      <c r="J142" s="1849"/>
      <c r="K142" s="1849"/>
      <c r="L142" s="1849"/>
      <c r="M142" s="1849"/>
      <c r="N142" s="1849"/>
      <c r="O142" s="1849"/>
      <c r="P142" s="1849"/>
      <c r="Q142" s="1849"/>
    </row>
    <row r="143" spans="1:17" x14ac:dyDescent="0.2">
      <c r="A143" s="1849"/>
      <c r="B143" s="1850" t="s">
        <v>74</v>
      </c>
      <c r="C143" s="1849"/>
      <c r="D143" s="1849"/>
      <c r="E143" s="1849"/>
      <c r="F143" s="1849"/>
      <c r="G143" s="1849"/>
      <c r="H143" s="1849"/>
      <c r="I143" s="1849"/>
      <c r="J143" s="1849"/>
      <c r="K143" s="1849"/>
      <c r="L143" s="1849"/>
      <c r="M143" s="1849"/>
      <c r="N143" s="1849"/>
      <c r="O143" s="1849"/>
      <c r="P143" s="1849"/>
      <c r="Q143" s="1849"/>
    </row>
    <row r="144" spans="1:17" x14ac:dyDescent="0.2">
      <c r="A144" s="1849"/>
      <c r="B144" s="1849"/>
      <c r="C144" s="1849"/>
      <c r="D144" s="1849"/>
      <c r="E144" s="1849"/>
      <c r="F144" s="1849"/>
      <c r="G144" s="1849"/>
      <c r="H144" s="1849"/>
      <c r="I144" s="1849"/>
      <c r="J144" s="1849"/>
      <c r="K144" s="1849"/>
      <c r="L144" s="1849"/>
      <c r="M144" s="1849"/>
      <c r="N144" s="1849"/>
      <c r="O144" s="1849"/>
      <c r="P144" s="1849"/>
      <c r="Q144" s="1849"/>
    </row>
    <row r="145" spans="1:17" ht="16.25" customHeight="1" x14ac:dyDescent="0.2">
      <c r="A145" s="1849"/>
      <c r="B145" s="2866" t="s">
        <v>189</v>
      </c>
      <c r="C145" s="2867"/>
      <c r="D145" s="1851" t="e">
        <f ca="1">Capacity!D117</f>
        <v>#NAME?</v>
      </c>
      <c r="E145" s="1849"/>
      <c r="F145" s="1849"/>
      <c r="G145" s="1849"/>
      <c r="H145" s="1849"/>
      <c r="I145" s="1849"/>
      <c r="J145" s="1849"/>
      <c r="K145" s="1849"/>
      <c r="L145" s="1849"/>
      <c r="M145" s="1849"/>
      <c r="N145" s="1849"/>
      <c r="O145" s="1849"/>
      <c r="P145" s="1849"/>
      <c r="Q145" s="1849"/>
    </row>
    <row r="146" spans="1:17" x14ac:dyDescent="0.2">
      <c r="A146" s="1849"/>
      <c r="B146" s="1849"/>
      <c r="C146" s="1849"/>
      <c r="D146" s="1849"/>
      <c r="E146" s="1849"/>
      <c r="F146" s="1849"/>
      <c r="G146" s="1849"/>
      <c r="H146" s="1849"/>
      <c r="I146" s="1849"/>
      <c r="J146" s="1849"/>
      <c r="K146" s="1849"/>
      <c r="L146" s="1849"/>
      <c r="M146" s="1849"/>
      <c r="N146" s="1849"/>
      <c r="O146" s="1849"/>
      <c r="P146" s="1849"/>
      <c r="Q146" s="1849"/>
    </row>
    <row r="147" spans="1:17" ht="15" customHeight="1" x14ac:dyDescent="0.2">
      <c r="A147" s="1849"/>
      <c r="B147" s="2849" t="s">
        <v>109</v>
      </c>
      <c r="C147" s="1852" t="s">
        <v>190</v>
      </c>
      <c r="D147" s="1853" t="e">
        <f ca="1">ROUNDDOWN(Capacity!H142/12,0)</f>
        <v>#NAME?</v>
      </c>
      <c r="E147" s="1849"/>
      <c r="F147" s="1849"/>
      <c r="G147" s="1849"/>
      <c r="H147" s="1849"/>
      <c r="I147" s="1849"/>
      <c r="J147" s="1849"/>
      <c r="K147" s="1849"/>
      <c r="L147" s="1849"/>
      <c r="M147" s="1849"/>
      <c r="N147" s="1849"/>
      <c r="O147" s="1849"/>
      <c r="P147" s="1849"/>
      <c r="Q147" s="1849"/>
    </row>
    <row r="148" spans="1:17" x14ac:dyDescent="0.2">
      <c r="A148" s="1849"/>
      <c r="B148" s="2850"/>
      <c r="C148" s="1854" t="s">
        <v>191</v>
      </c>
      <c r="D148" s="1855" t="e">
        <f ca="1">ROUNDDOWN(D147/4,0)</f>
        <v>#NAME?</v>
      </c>
      <c r="E148" s="1849"/>
      <c r="F148" s="1849"/>
      <c r="G148" s="1849"/>
      <c r="H148" s="1849"/>
      <c r="I148" s="1849"/>
      <c r="J148" s="1849"/>
      <c r="K148" s="1849"/>
      <c r="L148" s="1849"/>
      <c r="M148" s="1849"/>
      <c r="N148" s="1849"/>
      <c r="O148" s="1849"/>
      <c r="P148" s="1849"/>
      <c r="Q148" s="1849"/>
    </row>
    <row r="149" spans="1:17" x14ac:dyDescent="0.2">
      <c r="A149" s="1849"/>
      <c r="B149" s="1849"/>
      <c r="C149" s="1849"/>
      <c r="D149" s="1849"/>
      <c r="E149" s="1849"/>
      <c r="F149" s="1849"/>
      <c r="G149" s="1849"/>
      <c r="H149" s="1849"/>
      <c r="I149" s="1849"/>
      <c r="J149" s="1849"/>
      <c r="K149" s="1849"/>
      <c r="L149" s="1849"/>
      <c r="M149" s="1849"/>
      <c r="N149" s="1849"/>
      <c r="O149" s="1849"/>
      <c r="P149" s="1849"/>
      <c r="Q149" s="1849"/>
    </row>
    <row r="150" spans="1:17" x14ac:dyDescent="0.2">
      <c r="A150" s="1849"/>
      <c r="B150" s="1856" t="s">
        <v>192</v>
      </c>
      <c r="C150" s="1857"/>
      <c r="D150" s="1798">
        <v>1</v>
      </c>
      <c r="E150" s="1798">
        <v>2</v>
      </c>
      <c r="F150" s="1798">
        <v>3</v>
      </c>
      <c r="G150" s="1798">
        <v>4</v>
      </c>
      <c r="H150" s="1798">
        <v>5</v>
      </c>
      <c r="I150" s="1798">
        <v>6</v>
      </c>
      <c r="J150" s="1798">
        <v>7</v>
      </c>
      <c r="K150" s="1798">
        <v>8</v>
      </c>
      <c r="L150" s="1798">
        <v>9</v>
      </c>
      <c r="M150" s="1798">
        <v>10</v>
      </c>
      <c r="N150" s="1798">
        <v>11</v>
      </c>
      <c r="O150" s="1798">
        <v>12</v>
      </c>
      <c r="P150" s="1799" t="s">
        <v>128</v>
      </c>
      <c r="Q150" s="1849"/>
    </row>
    <row r="151" spans="1:17" x14ac:dyDescent="0.2">
      <c r="A151" s="1849"/>
      <c r="B151" s="1858" t="s">
        <v>193</v>
      </c>
      <c r="C151" s="1859"/>
      <c r="D151" s="1860" t="e">
        <f t="shared" ref="D151:O151" ca="1" si="180">$P151*C9</f>
        <v>#NAME?</v>
      </c>
      <c r="E151" s="1802" t="e">
        <f t="shared" ca="1" si="180"/>
        <v>#NAME?</v>
      </c>
      <c r="F151" s="1802" t="e">
        <f t="shared" ca="1" si="180"/>
        <v>#NAME?</v>
      </c>
      <c r="G151" s="1802" t="e">
        <f t="shared" ca="1" si="180"/>
        <v>#NAME?</v>
      </c>
      <c r="H151" s="1802" t="e">
        <f t="shared" ca="1" si="180"/>
        <v>#NAME?</v>
      </c>
      <c r="I151" s="1802" t="e">
        <f t="shared" ca="1" si="180"/>
        <v>#NAME?</v>
      </c>
      <c r="J151" s="1802" t="e">
        <f t="shared" ca="1" si="180"/>
        <v>#NAME?</v>
      </c>
      <c r="K151" s="1802" t="e">
        <f t="shared" ca="1" si="180"/>
        <v>#NAME?</v>
      </c>
      <c r="L151" s="1802" t="e">
        <f t="shared" ca="1" si="180"/>
        <v>#NAME?</v>
      </c>
      <c r="M151" s="1802" t="e">
        <f t="shared" ca="1" si="180"/>
        <v>#NAME?</v>
      </c>
      <c r="N151" s="1802" t="e">
        <f t="shared" ca="1" si="180"/>
        <v>#NAME?</v>
      </c>
      <c r="O151" s="1802" t="e">
        <f t="shared" ca="1" si="180"/>
        <v>#NAME?</v>
      </c>
      <c r="P151" s="1803" t="e">
        <f ca="1">('BASES MODEL (Base Case)'!F37+Inventory!F137)</f>
        <v>#NAME?</v>
      </c>
      <c r="Q151" s="1849"/>
    </row>
    <row r="152" spans="1:17" x14ac:dyDescent="0.2">
      <c r="A152" s="1849"/>
      <c r="B152" s="1861" t="s">
        <v>194</v>
      </c>
      <c r="C152" s="1862"/>
      <c r="D152" s="1808"/>
      <c r="E152" s="1808"/>
      <c r="F152" s="1808"/>
      <c r="G152" s="1808"/>
      <c r="H152" s="1808"/>
      <c r="I152" s="1808"/>
      <c r="J152" s="1808"/>
      <c r="K152" s="1808"/>
      <c r="L152" s="1808"/>
      <c r="M152" s="1808"/>
      <c r="N152" s="1808"/>
      <c r="O152" s="1809"/>
      <c r="P152" s="1810"/>
      <c r="Q152" s="1849"/>
    </row>
    <row r="153" spans="1:17" x14ac:dyDescent="0.2">
      <c r="A153" s="1849"/>
      <c r="B153" s="1863" t="s">
        <v>195</v>
      </c>
      <c r="C153" s="1862"/>
      <c r="D153" s="1864" t="e">
        <f ca="1">IF(D151&lt;$D147,D151,$D147)</f>
        <v>#NAME?</v>
      </c>
      <c r="E153" s="1813" t="e">
        <f ca="1">E151</f>
        <v>#NAME?</v>
      </c>
      <c r="F153" s="1813" t="e">
        <f ca="1">F151</f>
        <v>#NAME?</v>
      </c>
      <c r="G153" s="1813" t="e">
        <f ca="1">D147</f>
        <v>#NAME?</v>
      </c>
      <c r="H153" s="1813" t="e">
        <f ca="1">D147</f>
        <v>#NAME?</v>
      </c>
      <c r="I153" s="1813" t="e">
        <f ca="1">D147</f>
        <v>#NAME?</v>
      </c>
      <c r="J153" s="1813" t="e">
        <f ca="1">IF(J151&lt;$D147,J151,$D147)</f>
        <v>#NAME?</v>
      </c>
      <c r="K153" s="1813" t="e">
        <f t="shared" ref="K153:O153" ca="1" si="181">IF(K151&lt;$D147,K151,$D147)</f>
        <v>#NAME?</v>
      </c>
      <c r="L153" s="1813" t="e">
        <f t="shared" ca="1" si="181"/>
        <v>#NAME?</v>
      </c>
      <c r="M153" s="1813" t="e">
        <f t="shared" ca="1" si="181"/>
        <v>#NAME?</v>
      </c>
      <c r="N153" s="1813" t="e">
        <f t="shared" ca="1" si="181"/>
        <v>#NAME?</v>
      </c>
      <c r="O153" s="1813" t="e">
        <f t="shared" ca="1" si="181"/>
        <v>#NAME?</v>
      </c>
      <c r="P153" s="1810" t="e">
        <f ca="1">SUM(D153:O153)</f>
        <v>#NAME?</v>
      </c>
      <c r="Q153" s="1849"/>
    </row>
    <row r="154" spans="1:17" x14ac:dyDescent="0.2">
      <c r="A154" s="1849"/>
      <c r="B154" s="1861" t="s">
        <v>196</v>
      </c>
      <c r="C154" s="1862"/>
      <c r="D154" s="1865" t="e">
        <f ca="1">D151-D153</f>
        <v>#NAME?</v>
      </c>
      <c r="E154" s="1814"/>
      <c r="F154" s="1814">
        <v>0</v>
      </c>
      <c r="G154" s="1814">
        <v>0</v>
      </c>
      <c r="H154" s="1814"/>
      <c r="I154" s="1814">
        <v>0</v>
      </c>
      <c r="J154" s="1814">
        <v>0</v>
      </c>
      <c r="K154" s="1814">
        <v>0</v>
      </c>
      <c r="L154" s="1814" t="e">
        <f ca="1">L151-L153-2699+8</f>
        <v>#NAME?</v>
      </c>
      <c r="M154" s="1814" t="e">
        <f ca="1">M151-M153</f>
        <v>#NAME?</v>
      </c>
      <c r="N154" s="1814" t="e">
        <f t="shared" ref="N154:O154" ca="1" si="182">N151-N153</f>
        <v>#NAME?</v>
      </c>
      <c r="O154" s="1814" t="e">
        <f t="shared" ca="1" si="182"/>
        <v>#NAME?</v>
      </c>
      <c r="P154" s="1810" t="e">
        <f ca="1">SUM(D154:O154)</f>
        <v>#NAME?</v>
      </c>
      <c r="Q154" s="1849"/>
    </row>
    <row r="155" spans="1:17" x14ac:dyDescent="0.2">
      <c r="A155" s="1849"/>
      <c r="B155" s="1861" t="s">
        <v>197</v>
      </c>
      <c r="C155" s="1862"/>
      <c r="D155" s="1865">
        <v>0</v>
      </c>
      <c r="E155" s="1814">
        <v>0</v>
      </c>
      <c r="F155" s="1814">
        <v>0</v>
      </c>
      <c r="G155" s="1814">
        <v>0</v>
      </c>
      <c r="H155" s="1814">
        <v>0</v>
      </c>
      <c r="I155" s="1814">
        <v>0</v>
      </c>
      <c r="J155" s="1814">
        <v>0</v>
      </c>
      <c r="K155" s="1814">
        <v>0</v>
      </c>
      <c r="L155" s="1814">
        <v>0</v>
      </c>
      <c r="M155" s="1814">
        <v>0</v>
      </c>
      <c r="N155" s="1814">
        <v>0</v>
      </c>
      <c r="O155" s="1814"/>
      <c r="P155" s="1810">
        <f>SUM(D155:O155)</f>
        <v>0</v>
      </c>
      <c r="Q155" s="1849"/>
    </row>
    <row r="156" spans="1:17" x14ac:dyDescent="0.2">
      <c r="A156" s="1849"/>
      <c r="B156" s="1861" t="s">
        <v>198</v>
      </c>
      <c r="C156" s="1862"/>
      <c r="D156" s="1865">
        <v>0</v>
      </c>
      <c r="E156" s="1814">
        <v>0</v>
      </c>
      <c r="F156" s="1814">
        <v>0</v>
      </c>
      <c r="G156" s="1814">
        <v>0</v>
      </c>
      <c r="H156" s="1814">
        <v>0</v>
      </c>
      <c r="I156" s="1814">
        <v>0</v>
      </c>
      <c r="J156" s="1814">
        <v>0</v>
      </c>
      <c r="K156" s="1814">
        <v>0</v>
      </c>
      <c r="L156" s="1814">
        <v>0</v>
      </c>
      <c r="M156" s="1814">
        <v>0</v>
      </c>
      <c r="N156" s="1814">
        <v>0</v>
      </c>
      <c r="O156" s="1814">
        <v>0</v>
      </c>
      <c r="P156" s="1810">
        <f>SUM(D156:O156)</f>
        <v>0</v>
      </c>
      <c r="Q156" s="1849"/>
    </row>
    <row r="157" spans="1:17" x14ac:dyDescent="0.2">
      <c r="A157" s="1849"/>
      <c r="B157" s="1863" t="s">
        <v>199</v>
      </c>
      <c r="C157" s="1862"/>
      <c r="D157" s="1808" t="e">
        <f t="shared" ref="D157" ca="1" si="183">SUM(D153:D156)-D151</f>
        <v>#NAME?</v>
      </c>
      <c r="E157" s="1808" t="e">
        <f t="shared" ref="E157" ca="1" si="184">SUM(E153:E156)-E151</f>
        <v>#NAME?</v>
      </c>
      <c r="F157" s="1808" t="e">
        <f t="shared" ref="F157" ca="1" si="185">SUM(F153:F156)-F151</f>
        <v>#NAME?</v>
      </c>
      <c r="G157" s="1808" t="e">
        <f t="shared" ref="G157" ca="1" si="186">SUM(G153:G156)-G151</f>
        <v>#NAME?</v>
      </c>
      <c r="H157" s="1808" t="e">
        <f t="shared" ref="H157" ca="1" si="187">SUM(H153:H156)-H151</f>
        <v>#NAME?</v>
      </c>
      <c r="I157" s="1808" t="e">
        <f t="shared" ref="I157" ca="1" si="188">SUM(I153:I156)-I151</f>
        <v>#NAME?</v>
      </c>
      <c r="J157" s="1808" t="e">
        <f t="shared" ref="J157" ca="1" si="189">SUM(J153:J156)-J151</f>
        <v>#NAME?</v>
      </c>
      <c r="K157" s="1808" t="e">
        <f t="shared" ref="K157" ca="1" si="190">SUM(K153:K156)-K151</f>
        <v>#NAME?</v>
      </c>
      <c r="L157" s="1808" t="e">
        <f t="shared" ref="L157" ca="1" si="191">SUM(L153:L156)-L151</f>
        <v>#NAME?</v>
      </c>
      <c r="M157" s="1808" t="e">
        <f t="shared" ref="M157" ca="1" si="192">SUM(M153:M156)-M151</f>
        <v>#NAME?</v>
      </c>
      <c r="N157" s="1808" t="e">
        <f t="shared" ref="N157" ca="1" si="193">SUM(N153:N156)-N151</f>
        <v>#NAME?</v>
      </c>
      <c r="O157" s="1809" t="e">
        <f t="shared" ref="O157" ca="1" si="194">SUM(O153:O156)-O151</f>
        <v>#NAME?</v>
      </c>
      <c r="P157" s="1810" t="e">
        <f ca="1">SUM(D157:O157)</f>
        <v>#NAME?</v>
      </c>
      <c r="Q157" s="1849"/>
    </row>
    <row r="158" spans="1:17" x14ac:dyDescent="0.2">
      <c r="A158" s="1849"/>
      <c r="B158" s="1861" t="s">
        <v>13</v>
      </c>
      <c r="C158" s="1862"/>
      <c r="D158" s="1808"/>
      <c r="E158" s="1808"/>
      <c r="F158" s="1808"/>
      <c r="G158" s="1808"/>
      <c r="H158" s="1808"/>
      <c r="I158" s="1808"/>
      <c r="J158" s="1808"/>
      <c r="K158" s="1808"/>
      <c r="L158" s="1808"/>
      <c r="M158" s="1808"/>
      <c r="N158" s="1808"/>
      <c r="O158" s="1809"/>
      <c r="P158" s="1810"/>
      <c r="Q158" s="1849"/>
    </row>
    <row r="159" spans="1:17" x14ac:dyDescent="0.2">
      <c r="A159" s="1849"/>
      <c r="B159" s="1861" t="s">
        <v>200</v>
      </c>
      <c r="C159" s="1862"/>
      <c r="D159" s="1808">
        <f>C160</f>
        <v>0</v>
      </c>
      <c r="E159" s="1808" t="e">
        <f ca="1">D160</f>
        <v>#NAME?</v>
      </c>
      <c r="F159" s="1808" t="e">
        <f t="shared" ref="F159" ca="1" si="195">E160</f>
        <v>#NAME?</v>
      </c>
      <c r="G159" s="1808" t="e">
        <f t="shared" ref="G159" ca="1" si="196">F160</f>
        <v>#NAME?</v>
      </c>
      <c r="H159" s="1808" t="e">
        <f t="shared" ref="H159" ca="1" si="197">G160</f>
        <v>#NAME?</v>
      </c>
      <c r="I159" s="1808" t="e">
        <f t="shared" ref="I159" ca="1" si="198">H160</f>
        <v>#NAME?</v>
      </c>
      <c r="J159" s="1808" t="e">
        <f t="shared" ref="J159" ca="1" si="199">I160</f>
        <v>#NAME?</v>
      </c>
      <c r="K159" s="1808" t="e">
        <f t="shared" ref="K159" ca="1" si="200">J160</f>
        <v>#NAME?</v>
      </c>
      <c r="L159" s="1808" t="e">
        <f t="shared" ref="L159" ca="1" si="201">K160</f>
        <v>#NAME?</v>
      </c>
      <c r="M159" s="1808" t="e">
        <f t="shared" ref="M159" ca="1" si="202">L160</f>
        <v>#NAME?</v>
      </c>
      <c r="N159" s="1808" t="e">
        <f t="shared" ref="N159" ca="1" si="203">M160</f>
        <v>#NAME?</v>
      </c>
      <c r="O159" s="1808" t="e">
        <f t="shared" ref="O159" ca="1" si="204">N160</f>
        <v>#NAME?</v>
      </c>
      <c r="P159" s="1810"/>
      <c r="Q159" s="1849"/>
    </row>
    <row r="160" spans="1:17" x14ac:dyDescent="0.2">
      <c r="A160" s="1849"/>
      <c r="B160" s="1861" t="s">
        <v>201</v>
      </c>
      <c r="C160" s="1866"/>
      <c r="D160" s="1808" t="e">
        <f ca="1">MAX(D159+D157-C162,0)</f>
        <v>#NAME?</v>
      </c>
      <c r="E160" s="1808" t="e">
        <f ca="1">MAX(E159+E157-D162,0)</f>
        <v>#NAME?</v>
      </c>
      <c r="F160" s="1808" t="e">
        <f t="shared" ref="F160" ca="1" si="205">MAX(F159+F157-E162,0)</f>
        <v>#NAME?</v>
      </c>
      <c r="G160" s="1808" t="e">
        <f t="shared" ref="G160" ca="1" si="206">MAX(G159+G157-F162,0)</f>
        <v>#NAME?</v>
      </c>
      <c r="H160" s="1808" t="e">
        <f t="shared" ref="H160" ca="1" si="207">MAX(H159+H157-G162,0)</f>
        <v>#NAME?</v>
      </c>
      <c r="I160" s="1808" t="e">
        <f t="shared" ref="I160" ca="1" si="208">MAX(I159+I157-H162,0)</f>
        <v>#NAME?</v>
      </c>
      <c r="J160" s="1808" t="e">
        <f t="shared" ref="J160" ca="1" si="209">MAX(J159+J157-I162,0)</f>
        <v>#NAME?</v>
      </c>
      <c r="K160" s="1808" t="e">
        <f t="shared" ref="K160" ca="1" si="210">MAX(K159+K157-J162,0)</f>
        <v>#NAME?</v>
      </c>
      <c r="L160" s="1808" t="e">
        <f t="shared" ref="L160" ca="1" si="211">MAX(L159+L157-K162,0)</f>
        <v>#NAME?</v>
      </c>
      <c r="M160" s="1808" t="e">
        <f t="shared" ref="M160" ca="1" si="212">MAX(M159+M157-L162,0)</f>
        <v>#NAME?</v>
      </c>
      <c r="N160" s="1808" t="e">
        <f t="shared" ref="N160" ca="1" si="213">MAX(N159+N157-M162,0)</f>
        <v>#NAME?</v>
      </c>
      <c r="O160" s="1808" t="e">
        <f t="shared" ref="O160" ca="1" si="214">MAX(O159+O157-N162,0)</f>
        <v>#NAME?</v>
      </c>
      <c r="P160" s="1810"/>
      <c r="Q160" s="1849"/>
    </row>
    <row r="161" spans="1:17" x14ac:dyDescent="0.2">
      <c r="A161" s="1849"/>
      <c r="B161" s="1861" t="s">
        <v>202</v>
      </c>
      <c r="C161" s="1862"/>
      <c r="D161" s="1808" t="e">
        <f ca="1">(D159+D160)/2</f>
        <v>#NAME?</v>
      </c>
      <c r="E161" s="1808" t="e">
        <f t="shared" ref="E161:O161" ca="1" si="215">(E159+E160)/2</f>
        <v>#NAME?</v>
      </c>
      <c r="F161" s="1808" t="e">
        <f t="shared" ca="1" si="215"/>
        <v>#NAME?</v>
      </c>
      <c r="G161" s="1808" t="e">
        <f t="shared" ca="1" si="215"/>
        <v>#NAME?</v>
      </c>
      <c r="H161" s="1808" t="e">
        <f t="shared" ca="1" si="215"/>
        <v>#NAME?</v>
      </c>
      <c r="I161" s="1808" t="e">
        <f t="shared" ca="1" si="215"/>
        <v>#NAME?</v>
      </c>
      <c r="J161" s="1808" t="e">
        <f t="shared" ca="1" si="215"/>
        <v>#NAME?</v>
      </c>
      <c r="K161" s="1808" t="e">
        <f t="shared" ca="1" si="215"/>
        <v>#NAME?</v>
      </c>
      <c r="L161" s="1808" t="e">
        <f t="shared" ca="1" si="215"/>
        <v>#NAME?</v>
      </c>
      <c r="M161" s="1808" t="e">
        <f t="shared" ca="1" si="215"/>
        <v>#NAME?</v>
      </c>
      <c r="N161" s="1816" t="e">
        <f t="shared" ca="1" si="215"/>
        <v>#NAME?</v>
      </c>
      <c r="O161" s="1809" t="e">
        <f t="shared" ca="1" si="215"/>
        <v>#NAME?</v>
      </c>
      <c r="P161" s="1810" t="e">
        <f ca="1">AVERAGE(D161:O161)</f>
        <v>#NAME?</v>
      </c>
      <c r="Q161" s="1849"/>
    </row>
    <row r="162" spans="1:17" x14ac:dyDescent="0.2">
      <c r="A162" s="1849"/>
      <c r="B162" s="1867" t="s">
        <v>203</v>
      </c>
      <c r="C162" s="1868"/>
      <c r="D162" s="1808">
        <v>0</v>
      </c>
      <c r="E162" s="1808" t="e">
        <f ca="1">MAX(D162-E157-E159,0)</f>
        <v>#NAME?</v>
      </c>
      <c r="F162" s="1808" t="e">
        <f t="shared" ref="F162" ca="1" si="216">MAX(E162-F157-F159,0)</f>
        <v>#NAME?</v>
      </c>
      <c r="G162" s="1808" t="e">
        <f t="shared" ref="G162" ca="1" si="217">MAX(F162-G157-G159,0)</f>
        <v>#NAME?</v>
      </c>
      <c r="H162" s="1808" t="e">
        <f t="shared" ref="H162" ca="1" si="218">MAX(G162-H157-H159,0)</f>
        <v>#NAME?</v>
      </c>
      <c r="I162" s="1808" t="e">
        <f t="shared" ref="I162" ca="1" si="219">MAX(H162-I157-I159,0)</f>
        <v>#NAME?</v>
      </c>
      <c r="J162" s="1808" t="e">
        <f t="shared" ref="J162" ca="1" si="220">MAX(I162-J157-J159,0)</f>
        <v>#NAME?</v>
      </c>
      <c r="K162" s="1808" t="e">
        <f t="shared" ref="K162" ca="1" si="221">MAX(J162-K157-K159,0)</f>
        <v>#NAME?</v>
      </c>
      <c r="L162" s="1808" t="e">
        <f t="shared" ref="L162" ca="1" si="222">MAX(K162-L157-L159,0)</f>
        <v>#NAME?</v>
      </c>
      <c r="M162" s="1808" t="e">
        <f t="shared" ref="M162" ca="1" si="223">MAX(L162-M157-M159,0)</f>
        <v>#NAME?</v>
      </c>
      <c r="N162" s="1808" t="e">
        <f t="shared" ref="N162" ca="1" si="224">MAX(M162-N157-N159,0)</f>
        <v>#NAME?</v>
      </c>
      <c r="O162" s="1808" t="e">
        <f t="shared" ref="O162" ca="1" si="225">MAX(N162-O157-O159,0)</f>
        <v>#NAME?</v>
      </c>
      <c r="P162" s="1819" t="e">
        <f ca="1">SUM(D162:O162)</f>
        <v>#NAME?</v>
      </c>
      <c r="Q162" s="1849"/>
    </row>
    <row r="163" spans="1:17" x14ac:dyDescent="0.2">
      <c r="A163" s="1849"/>
      <c r="B163" s="1812" t="s">
        <v>204</v>
      </c>
      <c r="C163" s="1820"/>
      <c r="D163" s="1821"/>
      <c r="E163" s="1822"/>
      <c r="F163" s="1822"/>
      <c r="G163" s="1822"/>
      <c r="H163" s="1822"/>
      <c r="I163" s="1822"/>
      <c r="J163" s="1822"/>
      <c r="K163" s="1822"/>
      <c r="L163" s="1822"/>
      <c r="M163" s="1822"/>
      <c r="N163" s="1822"/>
      <c r="O163" s="1823"/>
      <c r="P163" s="1824"/>
      <c r="Q163" s="1849"/>
    </row>
    <row r="164" spans="1:17" ht="15.75" customHeight="1" x14ac:dyDescent="0.2">
      <c r="A164" s="1849"/>
      <c r="B164" s="1812" t="s">
        <v>205</v>
      </c>
      <c r="C164" s="1872" t="e">
        <f ca="1">Salaries!G136/P151</f>
        <v>#NAME?</v>
      </c>
      <c r="D164" s="1826" t="e">
        <f ca="1">D153*$C164</f>
        <v>#NAME?</v>
      </c>
      <c r="E164" s="1827" t="e">
        <f t="shared" ref="E164:O164" ca="1" si="226">E153*$C164</f>
        <v>#NAME?</v>
      </c>
      <c r="F164" s="1827" t="e">
        <f t="shared" ca="1" si="226"/>
        <v>#NAME?</v>
      </c>
      <c r="G164" s="1827" t="e">
        <f t="shared" ca="1" si="226"/>
        <v>#NAME?</v>
      </c>
      <c r="H164" s="1827" t="e">
        <f t="shared" ca="1" si="226"/>
        <v>#NAME?</v>
      </c>
      <c r="I164" s="1827" t="e">
        <f t="shared" ca="1" si="226"/>
        <v>#NAME?</v>
      </c>
      <c r="J164" s="1827" t="e">
        <f t="shared" ca="1" si="226"/>
        <v>#NAME?</v>
      </c>
      <c r="K164" s="1827" t="e">
        <f t="shared" ca="1" si="226"/>
        <v>#NAME?</v>
      </c>
      <c r="L164" s="1827" t="e">
        <f t="shared" ca="1" si="226"/>
        <v>#NAME?</v>
      </c>
      <c r="M164" s="1827" t="e">
        <f t="shared" ca="1" si="226"/>
        <v>#NAME?</v>
      </c>
      <c r="N164" s="1827" t="e">
        <f t="shared" ca="1" si="226"/>
        <v>#NAME?</v>
      </c>
      <c r="O164" s="1828" t="e">
        <f t="shared" ca="1" si="226"/>
        <v>#NAME?</v>
      </c>
      <c r="P164" s="1828" t="e">
        <f t="shared" ref="P164:P169" ca="1" si="227">SUM(D164:O164)</f>
        <v>#NAME?</v>
      </c>
      <c r="Q164" s="1849"/>
    </row>
    <row r="165" spans="1:17" x14ac:dyDescent="0.2">
      <c r="A165" s="1849"/>
      <c r="B165" s="1812" t="s">
        <v>206</v>
      </c>
      <c r="C165" s="1829" t="e">
        <f ca="1">C164*1.73</f>
        <v>#NAME?</v>
      </c>
      <c r="D165" s="1826" t="e">
        <f ca="1">D154*$C165</f>
        <v>#NAME?</v>
      </c>
      <c r="E165" s="1827" t="e">
        <f t="shared" ref="E165:O165" ca="1" si="228">E154*$C165</f>
        <v>#NAME?</v>
      </c>
      <c r="F165" s="1827" t="e">
        <f t="shared" ca="1" si="228"/>
        <v>#NAME?</v>
      </c>
      <c r="G165" s="1827" t="e">
        <f t="shared" ca="1" si="228"/>
        <v>#NAME?</v>
      </c>
      <c r="H165" s="1827" t="e">
        <f t="shared" ca="1" si="228"/>
        <v>#NAME?</v>
      </c>
      <c r="I165" s="1827" t="e">
        <f t="shared" ca="1" si="228"/>
        <v>#NAME?</v>
      </c>
      <c r="J165" s="1827" t="e">
        <f t="shared" ca="1" si="228"/>
        <v>#NAME?</v>
      </c>
      <c r="K165" s="1827" t="e">
        <f t="shared" ca="1" si="228"/>
        <v>#NAME?</v>
      </c>
      <c r="L165" s="1827" t="e">
        <f t="shared" ca="1" si="228"/>
        <v>#NAME?</v>
      </c>
      <c r="M165" s="1827" t="e">
        <f t="shared" ca="1" si="228"/>
        <v>#NAME?</v>
      </c>
      <c r="N165" s="1827" t="e">
        <f t="shared" ca="1" si="228"/>
        <v>#NAME?</v>
      </c>
      <c r="O165" s="1828" t="e">
        <f t="shared" ca="1" si="228"/>
        <v>#NAME?</v>
      </c>
      <c r="P165" s="1828" t="e">
        <f t="shared" ca="1" si="227"/>
        <v>#NAME?</v>
      </c>
      <c r="Q165" s="1849"/>
    </row>
    <row r="166" spans="1:17" x14ac:dyDescent="0.2">
      <c r="A166" s="1849"/>
      <c r="B166" s="1812" t="s">
        <v>207</v>
      </c>
      <c r="C166" s="1829" t="e">
        <f ca="1">C164*1.5</f>
        <v>#NAME?</v>
      </c>
      <c r="D166" s="1826" t="e">
        <f ca="1">D155*$C166</f>
        <v>#NAME?</v>
      </c>
      <c r="E166" s="1827" t="e">
        <f t="shared" ref="E166:O166" ca="1" si="229">E155*$C166</f>
        <v>#NAME?</v>
      </c>
      <c r="F166" s="1827" t="e">
        <f t="shared" ca="1" si="229"/>
        <v>#NAME?</v>
      </c>
      <c r="G166" s="1827" t="e">
        <f t="shared" ca="1" si="229"/>
        <v>#NAME?</v>
      </c>
      <c r="H166" s="1827" t="e">
        <f t="shared" ca="1" si="229"/>
        <v>#NAME?</v>
      </c>
      <c r="I166" s="1827" t="e">
        <f t="shared" ca="1" si="229"/>
        <v>#NAME?</v>
      </c>
      <c r="J166" s="1827" t="e">
        <f t="shared" ca="1" si="229"/>
        <v>#NAME?</v>
      </c>
      <c r="K166" s="1827" t="e">
        <f t="shared" ca="1" si="229"/>
        <v>#NAME?</v>
      </c>
      <c r="L166" s="1827" t="e">
        <f ca="1">L155*$C166</f>
        <v>#NAME?</v>
      </c>
      <c r="M166" s="1827" t="e">
        <f t="shared" ca="1" si="229"/>
        <v>#NAME?</v>
      </c>
      <c r="N166" s="1827" t="e">
        <f t="shared" ca="1" si="229"/>
        <v>#NAME?</v>
      </c>
      <c r="O166" s="1828" t="e">
        <f t="shared" ca="1" si="229"/>
        <v>#NAME?</v>
      </c>
      <c r="P166" s="1828" t="e">
        <f t="shared" ca="1" si="227"/>
        <v>#NAME?</v>
      </c>
      <c r="Q166" s="1849"/>
    </row>
    <row r="167" spans="1:17" x14ac:dyDescent="0.2">
      <c r="A167" s="1849"/>
      <c r="B167" s="1812" t="s">
        <v>208</v>
      </c>
      <c r="C167" s="1829" t="e">
        <f ca="1">C164*2</f>
        <v>#NAME?</v>
      </c>
      <c r="D167" s="1826" t="e">
        <f ca="1">D156*$C167</f>
        <v>#NAME?</v>
      </c>
      <c r="E167" s="1827" t="e">
        <f t="shared" ref="E167:O167" ca="1" si="230">E156*$C167</f>
        <v>#NAME?</v>
      </c>
      <c r="F167" s="1827" t="e">
        <f t="shared" ca="1" si="230"/>
        <v>#NAME?</v>
      </c>
      <c r="G167" s="1827" t="e">
        <f t="shared" ca="1" si="230"/>
        <v>#NAME?</v>
      </c>
      <c r="H167" s="1827" t="e">
        <f t="shared" ca="1" si="230"/>
        <v>#NAME?</v>
      </c>
      <c r="I167" s="1827" t="e">
        <f t="shared" ca="1" si="230"/>
        <v>#NAME?</v>
      </c>
      <c r="J167" s="1827" t="e">
        <f t="shared" ca="1" si="230"/>
        <v>#NAME?</v>
      </c>
      <c r="K167" s="1827" t="e">
        <f t="shared" ca="1" si="230"/>
        <v>#NAME?</v>
      </c>
      <c r="L167" s="1827" t="e">
        <f t="shared" ca="1" si="230"/>
        <v>#NAME?</v>
      </c>
      <c r="M167" s="1827" t="e">
        <f t="shared" ca="1" si="230"/>
        <v>#NAME?</v>
      </c>
      <c r="N167" s="1827" t="e">
        <f t="shared" ca="1" si="230"/>
        <v>#NAME?</v>
      </c>
      <c r="O167" s="1828" t="e">
        <f t="shared" ca="1" si="230"/>
        <v>#NAME?</v>
      </c>
      <c r="P167" s="1828" t="e">
        <f t="shared" ca="1" si="227"/>
        <v>#NAME?</v>
      </c>
      <c r="Q167" s="1849"/>
    </row>
    <row r="168" spans="1:17" x14ac:dyDescent="0.2">
      <c r="A168" s="1849"/>
      <c r="B168" s="1812" t="s">
        <v>209</v>
      </c>
      <c r="C168" s="1829" t="e">
        <f ca="1">Inventory!L137/12</f>
        <v>#NAME?</v>
      </c>
      <c r="D168" s="1826" t="e">
        <f t="shared" ref="D168:E168" ca="1" si="231">D161*$C168</f>
        <v>#NAME?</v>
      </c>
      <c r="E168" s="1827" t="e">
        <f t="shared" ca="1" si="231"/>
        <v>#NAME?</v>
      </c>
      <c r="F168" s="1827" t="e">
        <f ca="1">F161*$C168</f>
        <v>#NAME?</v>
      </c>
      <c r="G168" s="1827" t="e">
        <f t="shared" ref="G168:O168" ca="1" si="232">G161*$C168</f>
        <v>#NAME?</v>
      </c>
      <c r="H168" s="1827" t="e">
        <f t="shared" ca="1" si="232"/>
        <v>#NAME?</v>
      </c>
      <c r="I168" s="1827" t="e">
        <f t="shared" ca="1" si="232"/>
        <v>#NAME?</v>
      </c>
      <c r="J168" s="1827" t="e">
        <f t="shared" ca="1" si="232"/>
        <v>#NAME?</v>
      </c>
      <c r="K168" s="1827" t="e">
        <f t="shared" ca="1" si="232"/>
        <v>#NAME?</v>
      </c>
      <c r="L168" s="1827" t="e">
        <f t="shared" ca="1" si="232"/>
        <v>#NAME?</v>
      </c>
      <c r="M168" s="1827" t="e">
        <f t="shared" ca="1" si="232"/>
        <v>#NAME?</v>
      </c>
      <c r="N168" s="1827" t="e">
        <f t="shared" ca="1" si="232"/>
        <v>#NAME?</v>
      </c>
      <c r="O168" s="1828" t="e">
        <f t="shared" ca="1" si="232"/>
        <v>#NAME?</v>
      </c>
      <c r="P168" s="1828" t="e">
        <f t="shared" ca="1" si="227"/>
        <v>#NAME?</v>
      </c>
      <c r="Q168" s="1849"/>
    </row>
    <row r="169" spans="1:17" x14ac:dyDescent="0.2">
      <c r="A169" s="1849"/>
      <c r="B169" s="1812" t="s">
        <v>210</v>
      </c>
      <c r="C169" s="1830" t="e">
        <f ca="1">(3*('Income Statement'!G11-'Income Statement'!G12))/P151</f>
        <v>#NAME?</v>
      </c>
      <c r="D169" s="1826" t="e">
        <f ca="1">D162*$C169</f>
        <v>#NAME?</v>
      </c>
      <c r="E169" s="1827" t="e">
        <f t="shared" ref="E169:O169" ca="1" si="233">E162*$C169</f>
        <v>#NAME?</v>
      </c>
      <c r="F169" s="1827" t="e">
        <f t="shared" ca="1" si="233"/>
        <v>#NAME?</v>
      </c>
      <c r="G169" s="1827" t="e">
        <f t="shared" ca="1" si="233"/>
        <v>#NAME?</v>
      </c>
      <c r="H169" s="1827" t="e">
        <f t="shared" ca="1" si="233"/>
        <v>#NAME?</v>
      </c>
      <c r="I169" s="1827" t="e">
        <f t="shared" ca="1" si="233"/>
        <v>#NAME?</v>
      </c>
      <c r="J169" s="1827" t="e">
        <f t="shared" ca="1" si="233"/>
        <v>#NAME?</v>
      </c>
      <c r="K169" s="1827" t="e">
        <f t="shared" ca="1" si="233"/>
        <v>#NAME?</v>
      </c>
      <c r="L169" s="1827" t="e">
        <f t="shared" ca="1" si="233"/>
        <v>#NAME?</v>
      </c>
      <c r="M169" s="1827" t="e">
        <f t="shared" ca="1" si="233"/>
        <v>#NAME?</v>
      </c>
      <c r="N169" s="1827" t="e">
        <f t="shared" ca="1" si="233"/>
        <v>#NAME?</v>
      </c>
      <c r="O169" s="1828" t="e">
        <f t="shared" ca="1" si="233"/>
        <v>#NAME?</v>
      </c>
      <c r="P169" s="1828" t="e">
        <f t="shared" ca="1" si="227"/>
        <v>#NAME?</v>
      </c>
      <c r="Q169" s="1849"/>
    </row>
    <row r="170" spans="1:17" x14ac:dyDescent="0.2">
      <c r="A170" s="1849"/>
      <c r="B170" s="1812" t="s">
        <v>211</v>
      </c>
      <c r="C170" s="1831"/>
      <c r="D170" s="1832"/>
      <c r="E170" s="1832"/>
      <c r="F170" s="1832"/>
      <c r="G170" s="1832"/>
      <c r="H170" s="1832"/>
      <c r="I170" s="1832"/>
      <c r="J170" s="1832"/>
      <c r="K170" s="1832"/>
      <c r="L170" s="1832"/>
      <c r="M170" s="1832"/>
      <c r="N170" s="1832"/>
      <c r="O170" s="1832"/>
      <c r="P170" s="1828">
        <f>SUM(D170:O170)</f>
        <v>0</v>
      </c>
      <c r="Q170" s="1849"/>
    </row>
    <row r="171" spans="1:17" x14ac:dyDescent="0.2">
      <c r="A171" s="1849"/>
      <c r="B171" s="1833" t="s">
        <v>128</v>
      </c>
      <c r="C171" s="1834"/>
      <c r="D171" s="1835" t="e">
        <f t="shared" ref="D171:P171" ca="1" si="234">SUM(D164:D170)</f>
        <v>#NAME?</v>
      </c>
      <c r="E171" s="1836" t="e">
        <f t="shared" ca="1" si="234"/>
        <v>#NAME?</v>
      </c>
      <c r="F171" s="1836" t="e">
        <f t="shared" ca="1" si="234"/>
        <v>#NAME?</v>
      </c>
      <c r="G171" s="1836" t="e">
        <f t="shared" ca="1" si="234"/>
        <v>#NAME?</v>
      </c>
      <c r="H171" s="1836" t="e">
        <f t="shared" ca="1" si="234"/>
        <v>#NAME?</v>
      </c>
      <c r="I171" s="1836" t="e">
        <f t="shared" ca="1" si="234"/>
        <v>#NAME?</v>
      </c>
      <c r="J171" s="1836" t="e">
        <f t="shared" ca="1" si="234"/>
        <v>#NAME?</v>
      </c>
      <c r="K171" s="1836" t="e">
        <f t="shared" ca="1" si="234"/>
        <v>#NAME?</v>
      </c>
      <c r="L171" s="1836" t="e">
        <f t="shared" ca="1" si="234"/>
        <v>#NAME?</v>
      </c>
      <c r="M171" s="1836" t="e">
        <f t="shared" ca="1" si="234"/>
        <v>#NAME?</v>
      </c>
      <c r="N171" s="1836" t="e">
        <f t="shared" ca="1" si="234"/>
        <v>#NAME?</v>
      </c>
      <c r="O171" s="1837" t="e">
        <f t="shared" ca="1" si="234"/>
        <v>#NAME?</v>
      </c>
      <c r="P171" s="1838" t="e">
        <f t="shared" ca="1" si="234"/>
        <v>#NAME?</v>
      </c>
      <c r="Q171" s="1849"/>
    </row>
    <row r="174" spans="1:17" ht="3" customHeight="1" x14ac:dyDescent="0.2">
      <c r="A174" s="1873"/>
      <c r="B174" s="1873"/>
      <c r="C174" s="1873"/>
      <c r="D174" s="1873"/>
      <c r="E174" s="1873"/>
      <c r="F174" s="1873"/>
      <c r="G174" s="1873"/>
      <c r="H174" s="1873"/>
      <c r="I174" s="1873"/>
      <c r="J174" s="1873"/>
      <c r="K174" s="1873"/>
      <c r="L174" s="1873"/>
      <c r="M174" s="1873"/>
      <c r="N174" s="1873"/>
      <c r="O174" s="1873"/>
      <c r="P174" s="1873"/>
      <c r="Q174" s="1873"/>
    </row>
    <row r="175" spans="1:17" x14ac:dyDescent="0.2">
      <c r="A175" s="1849"/>
      <c r="B175" s="1849"/>
      <c r="C175" s="1849"/>
      <c r="D175" s="1849"/>
      <c r="E175" s="1849"/>
      <c r="F175" s="1849"/>
      <c r="G175" s="1849"/>
      <c r="H175" s="1849"/>
      <c r="I175" s="1849"/>
      <c r="J175" s="1849"/>
      <c r="K175" s="1849"/>
      <c r="L175" s="1849"/>
      <c r="M175" s="1849"/>
      <c r="N175" s="1849"/>
      <c r="O175" s="1849"/>
      <c r="P175" s="1849"/>
      <c r="Q175" s="1849"/>
    </row>
    <row r="176" spans="1:17" x14ac:dyDescent="0.2">
      <c r="A176" s="1849"/>
      <c r="B176" s="1850" t="s">
        <v>75</v>
      </c>
      <c r="C176" s="1849"/>
      <c r="D176" s="1849"/>
      <c r="E176" s="1849"/>
      <c r="F176" s="1849"/>
      <c r="G176" s="1849"/>
      <c r="H176" s="1849"/>
      <c r="I176" s="1849"/>
      <c r="J176" s="1849"/>
      <c r="K176" s="1849"/>
      <c r="L176" s="1849"/>
      <c r="M176" s="1849"/>
      <c r="N176" s="1849"/>
      <c r="O176" s="1849"/>
      <c r="P176" s="1849"/>
      <c r="Q176" s="1849"/>
    </row>
    <row r="177" spans="1:17" x14ac:dyDescent="0.2">
      <c r="A177" s="1849"/>
      <c r="B177" s="1849"/>
      <c r="C177" s="1849"/>
      <c r="D177" s="1849"/>
      <c r="E177" s="1849"/>
      <c r="F177" s="1849"/>
      <c r="G177" s="1849"/>
      <c r="H177" s="1849"/>
      <c r="I177" s="1849"/>
      <c r="J177" s="1849"/>
      <c r="K177" s="1849"/>
      <c r="L177" s="1849"/>
      <c r="M177" s="1849"/>
      <c r="N177" s="1849"/>
      <c r="O177" s="1849"/>
      <c r="P177" s="1849"/>
      <c r="Q177" s="1849"/>
    </row>
    <row r="178" spans="1:17" ht="16.25" customHeight="1" x14ac:dyDescent="0.2">
      <c r="A178" s="1849"/>
      <c r="B178" s="2866" t="s">
        <v>189</v>
      </c>
      <c r="C178" s="2867"/>
      <c r="D178" s="1851" t="e">
        <f ca="1">Capacity!D199</f>
        <v>#NAME?</v>
      </c>
      <c r="E178" s="1849"/>
      <c r="F178" s="1849"/>
      <c r="G178" s="1849"/>
      <c r="H178" s="1849"/>
      <c r="I178" s="1849"/>
      <c r="J178" s="1849"/>
      <c r="K178" s="1849"/>
      <c r="L178" s="1849"/>
      <c r="M178" s="1849"/>
      <c r="N178" s="1849"/>
      <c r="O178" s="1849"/>
      <c r="P178" s="1849"/>
      <c r="Q178" s="1849"/>
    </row>
    <row r="179" spans="1:17" x14ac:dyDescent="0.2">
      <c r="A179" s="1849"/>
      <c r="B179" s="1849"/>
      <c r="C179" s="1849"/>
      <c r="D179" s="1849"/>
      <c r="E179" s="1849"/>
      <c r="F179" s="1849"/>
      <c r="G179" s="1849"/>
      <c r="H179" s="1849"/>
      <c r="I179" s="1849"/>
      <c r="J179" s="1849"/>
      <c r="K179" s="1849"/>
      <c r="L179" s="1849"/>
      <c r="M179" s="1849"/>
      <c r="N179" s="1849"/>
      <c r="O179" s="1849"/>
      <c r="P179" s="1849"/>
      <c r="Q179" s="1849"/>
    </row>
    <row r="180" spans="1:17" ht="16.25" customHeight="1" x14ac:dyDescent="0.2">
      <c r="A180" s="1849"/>
      <c r="B180" s="2847" t="s">
        <v>109</v>
      </c>
      <c r="C180" s="1852" t="s">
        <v>190</v>
      </c>
      <c r="D180" s="1874" t="e">
        <f ca="1">ROUNDDOWN(Capacity!H180/12,0)</f>
        <v>#NAME?</v>
      </c>
      <c r="E180" s="1849"/>
      <c r="F180" s="1849"/>
      <c r="G180" s="1849"/>
      <c r="H180" s="1849"/>
      <c r="I180" s="1849"/>
      <c r="J180" s="1849"/>
      <c r="K180" s="1849"/>
      <c r="L180" s="1849"/>
      <c r="M180" s="1849"/>
      <c r="N180" s="1849"/>
      <c r="O180" s="1849"/>
      <c r="P180" s="1849"/>
      <c r="Q180" s="1849"/>
    </row>
    <row r="181" spans="1:17" x14ac:dyDescent="0.2">
      <c r="A181" s="1849"/>
      <c r="B181" s="2848"/>
      <c r="C181" s="1854" t="s">
        <v>191</v>
      </c>
      <c r="D181" s="1875" t="e">
        <f ca="1">ROUNDDOWN(D180/4,0)</f>
        <v>#NAME?</v>
      </c>
      <c r="E181" s="1849"/>
      <c r="F181" s="1849"/>
      <c r="G181" s="1849"/>
      <c r="H181" s="1849"/>
      <c r="I181" s="1849"/>
      <c r="J181" s="1849"/>
      <c r="K181" s="1849"/>
      <c r="L181" s="1849"/>
      <c r="M181" s="1849"/>
      <c r="N181" s="1849"/>
      <c r="O181" s="1849"/>
      <c r="P181" s="1849"/>
      <c r="Q181" s="1849"/>
    </row>
    <row r="182" spans="1:17" x14ac:dyDescent="0.2">
      <c r="A182" s="1849"/>
      <c r="B182" s="1849"/>
      <c r="C182" s="1849"/>
      <c r="D182" s="1849"/>
      <c r="E182" s="1849"/>
      <c r="F182" s="1849"/>
      <c r="G182" s="1849"/>
      <c r="H182" s="1849"/>
      <c r="I182" s="1849"/>
      <c r="J182" s="1849"/>
      <c r="K182" s="1849"/>
      <c r="L182" s="1849"/>
      <c r="M182" s="1849"/>
      <c r="N182" s="1849"/>
      <c r="O182" s="1849"/>
      <c r="P182" s="1849"/>
      <c r="Q182" s="1849"/>
    </row>
    <row r="183" spans="1:17" x14ac:dyDescent="0.2">
      <c r="A183" s="1849"/>
      <c r="B183" s="1856" t="s">
        <v>192</v>
      </c>
      <c r="C183" s="1857"/>
      <c r="D183" s="1798">
        <v>1</v>
      </c>
      <c r="E183" s="1798">
        <v>2</v>
      </c>
      <c r="F183" s="1798">
        <v>3</v>
      </c>
      <c r="G183" s="1798">
        <v>4</v>
      </c>
      <c r="H183" s="1798">
        <v>5</v>
      </c>
      <c r="I183" s="1798">
        <v>6</v>
      </c>
      <c r="J183" s="1798">
        <v>7</v>
      </c>
      <c r="K183" s="1798">
        <v>8</v>
      </c>
      <c r="L183" s="1798">
        <v>9</v>
      </c>
      <c r="M183" s="1798">
        <v>10</v>
      </c>
      <c r="N183" s="1798">
        <v>11</v>
      </c>
      <c r="O183" s="1798">
        <v>12</v>
      </c>
      <c r="P183" s="1799" t="s">
        <v>128</v>
      </c>
      <c r="Q183" s="1849"/>
    </row>
    <row r="184" spans="1:17" x14ac:dyDescent="0.2">
      <c r="A184" s="1849"/>
      <c r="B184" s="1858" t="s">
        <v>193</v>
      </c>
      <c r="C184" s="1859"/>
      <c r="D184" s="1860" t="e">
        <f t="shared" ref="D184:O184" ca="1" si="235">$P184*C9</f>
        <v>#NAME?</v>
      </c>
      <c r="E184" s="1802" t="e">
        <f t="shared" ca="1" si="235"/>
        <v>#NAME?</v>
      </c>
      <c r="F184" s="1802" t="e">
        <f t="shared" ca="1" si="235"/>
        <v>#NAME?</v>
      </c>
      <c r="G184" s="1802" t="e">
        <f t="shared" ca="1" si="235"/>
        <v>#NAME?</v>
      </c>
      <c r="H184" s="1802" t="e">
        <f t="shared" ca="1" si="235"/>
        <v>#NAME?</v>
      </c>
      <c r="I184" s="1802" t="e">
        <f t="shared" ca="1" si="235"/>
        <v>#NAME?</v>
      </c>
      <c r="J184" s="1802" t="e">
        <f t="shared" ca="1" si="235"/>
        <v>#NAME?</v>
      </c>
      <c r="K184" s="1802" t="e">
        <f t="shared" ca="1" si="235"/>
        <v>#NAME?</v>
      </c>
      <c r="L184" s="1802" t="e">
        <f t="shared" ca="1" si="235"/>
        <v>#NAME?</v>
      </c>
      <c r="M184" s="1802" t="e">
        <f t="shared" ca="1" si="235"/>
        <v>#NAME?</v>
      </c>
      <c r="N184" s="1802" t="e">
        <f t="shared" ca="1" si="235"/>
        <v>#NAME?</v>
      </c>
      <c r="O184" s="1802" t="e">
        <f t="shared" ca="1" si="235"/>
        <v>#NAME?</v>
      </c>
      <c r="P184" s="1803" t="e">
        <f ca="1">('BASES MODEL (Base Case)'!G37+Inventory!F171)</f>
        <v>#NAME?</v>
      </c>
      <c r="Q184" s="1849"/>
    </row>
    <row r="185" spans="1:17" x14ac:dyDescent="0.2">
      <c r="A185" s="1849"/>
      <c r="B185" s="1861" t="s">
        <v>194</v>
      </c>
      <c r="C185" s="1862"/>
      <c r="D185" s="1808"/>
      <c r="E185" s="1808"/>
      <c r="F185" s="1808"/>
      <c r="G185" s="1808"/>
      <c r="H185" s="1808"/>
      <c r="I185" s="1808"/>
      <c r="J185" s="1808"/>
      <c r="K185" s="1808"/>
      <c r="L185" s="1808"/>
      <c r="M185" s="1808"/>
      <c r="N185" s="1808"/>
      <c r="O185" s="1809"/>
      <c r="P185" s="1810"/>
      <c r="Q185" s="1849"/>
    </row>
    <row r="186" spans="1:17" x14ac:dyDescent="0.2">
      <c r="A186" s="1849"/>
      <c r="B186" s="1863" t="s">
        <v>195</v>
      </c>
      <c r="C186" s="1862"/>
      <c r="D186" s="1864" t="e">
        <f ca="1">IF(D184&lt;$D180,D184,$D180)</f>
        <v>#NAME?</v>
      </c>
      <c r="E186" s="1813" t="e">
        <f t="shared" ref="E186:O186" ca="1" si="236">IF(E184&lt;$D180,E184,$D180)</f>
        <v>#NAME?</v>
      </c>
      <c r="F186" s="1813" t="e">
        <f t="shared" ca="1" si="236"/>
        <v>#NAME?</v>
      </c>
      <c r="G186" s="1813" t="e">
        <f ca="1">D180</f>
        <v>#NAME?</v>
      </c>
      <c r="H186" s="1813" t="e">
        <f ca="1">D180</f>
        <v>#NAME?</v>
      </c>
      <c r="I186" s="1813" t="e">
        <f ca="1">D180</f>
        <v>#NAME?</v>
      </c>
      <c r="J186" s="1813" t="e">
        <f t="shared" ca="1" si="236"/>
        <v>#NAME?</v>
      </c>
      <c r="K186" s="1813" t="e">
        <f t="shared" ca="1" si="236"/>
        <v>#NAME?</v>
      </c>
      <c r="L186" s="1813" t="e">
        <f t="shared" ca="1" si="236"/>
        <v>#NAME?</v>
      </c>
      <c r="M186" s="1813" t="e">
        <f t="shared" ca="1" si="236"/>
        <v>#NAME?</v>
      </c>
      <c r="N186" s="1813" t="e">
        <f t="shared" ca="1" si="236"/>
        <v>#NAME?</v>
      </c>
      <c r="O186" s="1813" t="e">
        <f t="shared" ca="1" si="236"/>
        <v>#NAME?</v>
      </c>
      <c r="P186" s="1810" t="e">
        <f ca="1">SUM(D186:O186)</f>
        <v>#NAME?</v>
      </c>
      <c r="Q186" s="1849"/>
    </row>
    <row r="187" spans="1:17" x14ac:dyDescent="0.2">
      <c r="A187" s="1849"/>
      <c r="B187" s="1861" t="s">
        <v>196</v>
      </c>
      <c r="C187" s="1862"/>
      <c r="D187" s="1865" t="e">
        <f ca="1">D184-D186</f>
        <v>#NAME?</v>
      </c>
      <c r="E187" s="1814" t="e">
        <f t="shared" ref="E187:O187" ca="1" si="237">E184-E186</f>
        <v>#NAME?</v>
      </c>
      <c r="F187" s="1814" t="e">
        <f t="shared" ca="1" si="237"/>
        <v>#NAME?</v>
      </c>
      <c r="G187" s="1814">
        <v>0</v>
      </c>
      <c r="H187" s="1814">
        <v>0</v>
      </c>
      <c r="I187" s="1814"/>
      <c r="J187" s="1814">
        <v>0</v>
      </c>
      <c r="K187" s="1988">
        <f>1320-80+11</f>
        <v>1251</v>
      </c>
      <c r="L187" s="1814" t="e">
        <f ca="1">D181</f>
        <v>#NAME?</v>
      </c>
      <c r="M187" s="1814" t="e">
        <f t="shared" ca="1" si="237"/>
        <v>#NAME?</v>
      </c>
      <c r="N187" s="1814" t="e">
        <f t="shared" ca="1" si="237"/>
        <v>#NAME?</v>
      </c>
      <c r="O187" s="1814" t="e">
        <f t="shared" ca="1" si="237"/>
        <v>#NAME?</v>
      </c>
      <c r="P187" s="1810" t="e">
        <f ca="1">SUM(D187:O187)</f>
        <v>#NAME?</v>
      </c>
      <c r="Q187" s="1849"/>
    </row>
    <row r="188" spans="1:17" x14ac:dyDescent="0.2">
      <c r="A188" s="1849"/>
      <c r="B188" s="1861" t="s">
        <v>197</v>
      </c>
      <c r="C188" s="1862"/>
      <c r="D188" s="1865">
        <v>0</v>
      </c>
      <c r="E188" s="1814">
        <v>0</v>
      </c>
      <c r="F188" s="1814">
        <v>0</v>
      </c>
      <c r="G188" s="1814">
        <v>0</v>
      </c>
      <c r="H188" s="1814">
        <v>0</v>
      </c>
      <c r="I188" s="1814">
        <v>0</v>
      </c>
      <c r="J188" s="1814">
        <v>0</v>
      </c>
      <c r="K188" s="1814">
        <v>0</v>
      </c>
      <c r="L188" s="1814">
        <v>0</v>
      </c>
      <c r="M188" s="1814">
        <v>0</v>
      </c>
      <c r="N188" s="1814">
        <v>0</v>
      </c>
      <c r="O188" s="1814"/>
      <c r="P188" s="1810">
        <f>SUM(D188:O188)</f>
        <v>0</v>
      </c>
      <c r="Q188" s="1849"/>
    </row>
    <row r="189" spans="1:17" x14ac:dyDescent="0.2">
      <c r="A189" s="1849"/>
      <c r="B189" s="1861" t="s">
        <v>198</v>
      </c>
      <c r="C189" s="1862"/>
      <c r="D189" s="1865">
        <v>0</v>
      </c>
      <c r="E189" s="1814">
        <v>0</v>
      </c>
      <c r="F189" s="1814">
        <v>0</v>
      </c>
      <c r="G189" s="1814">
        <v>0</v>
      </c>
      <c r="H189" s="1814">
        <v>0</v>
      </c>
      <c r="I189" s="1814">
        <v>0</v>
      </c>
      <c r="J189" s="1814">
        <v>0</v>
      </c>
      <c r="K189" s="1814">
        <v>0</v>
      </c>
      <c r="L189" s="1814">
        <v>0</v>
      </c>
      <c r="M189" s="1814">
        <v>0</v>
      </c>
      <c r="N189" s="1814">
        <v>0</v>
      </c>
      <c r="O189" s="1814">
        <v>0</v>
      </c>
      <c r="P189" s="1810">
        <f>SUM(D189:O189)</f>
        <v>0</v>
      </c>
      <c r="Q189" s="1849"/>
    </row>
    <row r="190" spans="1:17" x14ac:dyDescent="0.2">
      <c r="A190" s="1849"/>
      <c r="B190" s="1863" t="s">
        <v>199</v>
      </c>
      <c r="C190" s="1862"/>
      <c r="D190" s="1808" t="e">
        <f t="shared" ref="D190" ca="1" si="238">SUM(D186:D189)-D184</f>
        <v>#NAME?</v>
      </c>
      <c r="E190" s="1808" t="e">
        <f t="shared" ref="E190" ca="1" si="239">SUM(E186:E189)-E184</f>
        <v>#NAME?</v>
      </c>
      <c r="F190" s="1808" t="e">
        <f t="shared" ref="F190" ca="1" si="240">SUM(F186:F189)-F184</f>
        <v>#NAME?</v>
      </c>
      <c r="G190" s="1808" t="e">
        <f t="shared" ref="G190" ca="1" si="241">SUM(G186:G189)-G184</f>
        <v>#NAME?</v>
      </c>
      <c r="H190" s="1808" t="e">
        <f t="shared" ref="H190" ca="1" si="242">SUM(H186:H189)-H184</f>
        <v>#NAME?</v>
      </c>
      <c r="I190" s="1808" t="e">
        <f t="shared" ref="I190" ca="1" si="243">SUM(I186:I189)-I184</f>
        <v>#NAME?</v>
      </c>
      <c r="J190" s="1808" t="e">
        <f t="shared" ref="J190" ca="1" si="244">SUM(J186:J189)-J184</f>
        <v>#NAME?</v>
      </c>
      <c r="K190" s="1808" t="e">
        <f t="shared" ref="K190" ca="1" si="245">SUM(K186:K189)-K184</f>
        <v>#NAME?</v>
      </c>
      <c r="L190" s="1808" t="e">
        <f t="shared" ref="L190" ca="1" si="246">SUM(L186:L189)-L184</f>
        <v>#NAME?</v>
      </c>
      <c r="M190" s="1808" t="e">
        <f t="shared" ref="M190" ca="1" si="247">SUM(M186:M189)-M184</f>
        <v>#NAME?</v>
      </c>
      <c r="N190" s="1808" t="e">
        <f t="shared" ref="N190" ca="1" si="248">SUM(N186:N189)-N184</f>
        <v>#NAME?</v>
      </c>
      <c r="O190" s="1809" t="e">
        <f t="shared" ref="O190" ca="1" si="249">SUM(O186:O189)-O184</f>
        <v>#NAME?</v>
      </c>
      <c r="P190" s="1810" t="e">
        <f ca="1">SUM(D190:O190)</f>
        <v>#NAME?</v>
      </c>
      <c r="Q190" s="1849"/>
    </row>
    <row r="191" spans="1:17" x14ac:dyDescent="0.2">
      <c r="A191" s="1849"/>
      <c r="B191" s="1861" t="s">
        <v>13</v>
      </c>
      <c r="C191" s="1862"/>
      <c r="D191" s="1808"/>
      <c r="E191" s="1808"/>
      <c r="F191" s="1808"/>
      <c r="G191" s="1808"/>
      <c r="H191" s="1808"/>
      <c r="I191" s="1808"/>
      <c r="J191" s="1808"/>
      <c r="K191" s="1808"/>
      <c r="L191" s="1808"/>
      <c r="M191" s="1808"/>
      <c r="N191" s="1808"/>
      <c r="O191" s="1809"/>
      <c r="P191" s="1810"/>
      <c r="Q191" s="1849"/>
    </row>
    <row r="192" spans="1:17" x14ac:dyDescent="0.2">
      <c r="A192" s="1849"/>
      <c r="B192" s="1861" t="s">
        <v>200</v>
      </c>
      <c r="C192" s="1862"/>
      <c r="D192" s="1808">
        <f>C193</f>
        <v>0</v>
      </c>
      <c r="E192" s="1808" t="e">
        <f ca="1">D193</f>
        <v>#NAME?</v>
      </c>
      <c r="F192" s="1808" t="e">
        <f t="shared" ref="F192" ca="1" si="250">E193</f>
        <v>#NAME?</v>
      </c>
      <c r="G192" s="1808" t="e">
        <f t="shared" ref="G192" ca="1" si="251">F193</f>
        <v>#NAME?</v>
      </c>
      <c r="H192" s="1808" t="e">
        <f t="shared" ref="H192" ca="1" si="252">G193</f>
        <v>#NAME?</v>
      </c>
      <c r="I192" s="1808" t="e">
        <f t="shared" ref="I192" ca="1" si="253">H193</f>
        <v>#NAME?</v>
      </c>
      <c r="J192" s="1808" t="e">
        <f t="shared" ref="J192" ca="1" si="254">I193</f>
        <v>#NAME?</v>
      </c>
      <c r="K192" s="1808" t="e">
        <f t="shared" ref="K192" ca="1" si="255">J193</f>
        <v>#NAME?</v>
      </c>
      <c r="L192" s="1808" t="e">
        <f t="shared" ref="L192" ca="1" si="256">K193</f>
        <v>#NAME?</v>
      </c>
      <c r="M192" s="1808" t="e">
        <f t="shared" ref="M192" ca="1" si="257">L193</f>
        <v>#NAME?</v>
      </c>
      <c r="N192" s="1808" t="e">
        <f t="shared" ref="N192" ca="1" si="258">M193</f>
        <v>#NAME?</v>
      </c>
      <c r="O192" s="1808" t="e">
        <f t="shared" ref="O192" ca="1" si="259">N193</f>
        <v>#NAME?</v>
      </c>
      <c r="P192" s="1810"/>
      <c r="Q192" s="1849"/>
    </row>
    <row r="193" spans="1:17" x14ac:dyDescent="0.2">
      <c r="A193" s="1849"/>
      <c r="B193" s="1861" t="s">
        <v>201</v>
      </c>
      <c r="C193" s="1866"/>
      <c r="D193" s="1808" t="e">
        <f ca="1">MAX(D192+D190-C195,0)</f>
        <v>#NAME?</v>
      </c>
      <c r="E193" s="1808" t="e">
        <f ca="1">MAX(E192+E190-D195,0)</f>
        <v>#NAME?</v>
      </c>
      <c r="F193" s="1808" t="e">
        <f t="shared" ref="F193" ca="1" si="260">MAX(F192+F190-E195,0)</f>
        <v>#NAME?</v>
      </c>
      <c r="G193" s="1808" t="e">
        <f t="shared" ref="G193" ca="1" si="261">MAX(G192+G190-F195,0)</f>
        <v>#NAME?</v>
      </c>
      <c r="H193" s="1808" t="e">
        <f t="shared" ref="H193" ca="1" si="262">MAX(H192+H190-G195,0)</f>
        <v>#NAME?</v>
      </c>
      <c r="I193" s="1808" t="e">
        <f t="shared" ref="I193" ca="1" si="263">MAX(I192+I190-H195,0)</f>
        <v>#NAME?</v>
      </c>
      <c r="J193" s="1808" t="e">
        <f t="shared" ref="J193" ca="1" si="264">MAX(J192+J190-I195,0)</f>
        <v>#NAME?</v>
      </c>
      <c r="K193" s="1808" t="e">
        <f t="shared" ref="K193" ca="1" si="265">MAX(K192+K190-J195,0)</f>
        <v>#NAME?</v>
      </c>
      <c r="L193" s="1808" t="e">
        <f t="shared" ref="L193" ca="1" si="266">MAX(L192+L190-K195,0)</f>
        <v>#NAME?</v>
      </c>
      <c r="M193" s="1808" t="e">
        <f t="shared" ref="M193" ca="1" si="267">MAX(M192+M190-L195,0)</f>
        <v>#NAME?</v>
      </c>
      <c r="N193" s="1808" t="e">
        <f t="shared" ref="N193" ca="1" si="268">MAX(N192+N190-M195,0)</f>
        <v>#NAME?</v>
      </c>
      <c r="O193" s="1808" t="e">
        <f t="shared" ref="O193" ca="1" si="269">MAX(O192+O190-N195,0)</f>
        <v>#NAME?</v>
      </c>
      <c r="P193" s="1810"/>
      <c r="Q193" s="1849"/>
    </row>
    <row r="194" spans="1:17" x14ac:dyDescent="0.2">
      <c r="A194" s="1849"/>
      <c r="B194" s="1861" t="s">
        <v>202</v>
      </c>
      <c r="C194" s="1862"/>
      <c r="D194" s="1808" t="e">
        <f ca="1">(D192+D193)/2</f>
        <v>#NAME?</v>
      </c>
      <c r="E194" s="1808" t="e">
        <f t="shared" ref="E194:O194" ca="1" si="270">(E192+E193)/2</f>
        <v>#NAME?</v>
      </c>
      <c r="F194" s="1808" t="e">
        <f t="shared" ca="1" si="270"/>
        <v>#NAME?</v>
      </c>
      <c r="G194" s="1808" t="e">
        <f t="shared" ca="1" si="270"/>
        <v>#NAME?</v>
      </c>
      <c r="H194" s="1808" t="e">
        <f t="shared" ca="1" si="270"/>
        <v>#NAME?</v>
      </c>
      <c r="I194" s="1808" t="e">
        <f t="shared" ca="1" si="270"/>
        <v>#NAME?</v>
      </c>
      <c r="J194" s="1808" t="e">
        <f t="shared" ca="1" si="270"/>
        <v>#NAME?</v>
      </c>
      <c r="K194" s="1808" t="e">
        <f t="shared" ca="1" si="270"/>
        <v>#NAME?</v>
      </c>
      <c r="L194" s="1808" t="e">
        <f t="shared" ca="1" si="270"/>
        <v>#NAME?</v>
      </c>
      <c r="M194" s="1808" t="e">
        <f t="shared" ca="1" si="270"/>
        <v>#NAME?</v>
      </c>
      <c r="N194" s="1816" t="e">
        <f t="shared" ca="1" si="270"/>
        <v>#NAME?</v>
      </c>
      <c r="O194" s="1809" t="e">
        <f t="shared" ca="1" si="270"/>
        <v>#NAME?</v>
      </c>
      <c r="P194" s="1810" t="e">
        <f ca="1">AVERAGE(D194:O194)</f>
        <v>#NAME?</v>
      </c>
      <c r="Q194" s="1849"/>
    </row>
    <row r="195" spans="1:17" x14ac:dyDescent="0.2">
      <c r="A195" s="1849"/>
      <c r="B195" s="1867" t="s">
        <v>203</v>
      </c>
      <c r="C195" s="1868"/>
      <c r="D195" s="1808">
        <v>0</v>
      </c>
      <c r="E195" s="1808" t="e">
        <f ca="1">MAX(D195-E190-E192,0)</f>
        <v>#NAME?</v>
      </c>
      <c r="F195" s="1808" t="e">
        <f t="shared" ref="F195" ca="1" si="271">MAX(E195-F190-F192,0)</f>
        <v>#NAME?</v>
      </c>
      <c r="G195" s="1808" t="e">
        <f t="shared" ref="G195" ca="1" si="272">MAX(F195-G190-G192,0)</f>
        <v>#NAME?</v>
      </c>
      <c r="H195" s="1808" t="e">
        <f t="shared" ref="H195" ca="1" si="273">MAX(G195-H190-H192,0)</f>
        <v>#NAME?</v>
      </c>
      <c r="I195" s="1808" t="e">
        <f t="shared" ref="I195" ca="1" si="274">MAX(H195-I190-I192,0)</f>
        <v>#NAME?</v>
      </c>
      <c r="J195" s="1808" t="e">
        <f t="shared" ref="J195" ca="1" si="275">MAX(I195-J190-J192,0)</f>
        <v>#NAME?</v>
      </c>
      <c r="K195" s="1808" t="e">
        <f t="shared" ref="K195" ca="1" si="276">MAX(J195-K190-K192,0)</f>
        <v>#NAME?</v>
      </c>
      <c r="L195" s="1808" t="e">
        <f t="shared" ref="L195" ca="1" si="277">MAX(K195-L190-L192,0)</f>
        <v>#NAME?</v>
      </c>
      <c r="M195" s="1808" t="e">
        <f t="shared" ref="M195" ca="1" si="278">MAX(L195-M190-M192,0)</f>
        <v>#NAME?</v>
      </c>
      <c r="N195" s="1808" t="e">
        <f t="shared" ref="N195" ca="1" si="279">MAX(M195-N190-N192,0)</f>
        <v>#NAME?</v>
      </c>
      <c r="O195" s="1808" t="e">
        <f t="shared" ref="O195" ca="1" si="280">MAX(N195-O190-O192,0)</f>
        <v>#NAME?</v>
      </c>
      <c r="P195" s="1819" t="e">
        <f ca="1">SUM(D195:O195)</f>
        <v>#NAME?</v>
      </c>
      <c r="Q195" s="1849"/>
    </row>
    <row r="196" spans="1:17" x14ac:dyDescent="0.2">
      <c r="A196" s="1849"/>
      <c r="B196" s="1812" t="s">
        <v>204</v>
      </c>
      <c r="C196" s="1820"/>
      <c r="D196" s="1821"/>
      <c r="E196" s="1822"/>
      <c r="F196" s="1822"/>
      <c r="G196" s="1822"/>
      <c r="H196" s="1822"/>
      <c r="I196" s="1822"/>
      <c r="J196" s="1822"/>
      <c r="K196" s="1822"/>
      <c r="L196" s="1822"/>
      <c r="M196" s="1822"/>
      <c r="N196" s="1822"/>
      <c r="O196" s="1823"/>
      <c r="P196" s="1824"/>
      <c r="Q196" s="1849"/>
    </row>
    <row r="197" spans="1:17" x14ac:dyDescent="0.2">
      <c r="A197" s="1849"/>
      <c r="B197" s="1812" t="s">
        <v>205</v>
      </c>
      <c r="C197" s="1825" t="e">
        <f ca="1">Salaries!G164/P184</f>
        <v>#NAME?</v>
      </c>
      <c r="D197" s="1826" t="e">
        <f ca="1">D186*$C197</f>
        <v>#NAME?</v>
      </c>
      <c r="E197" s="1827" t="e">
        <f t="shared" ref="E197:O197" ca="1" si="281">E186*$C197</f>
        <v>#NAME?</v>
      </c>
      <c r="F197" s="1827" t="e">
        <f t="shared" ca="1" si="281"/>
        <v>#NAME?</v>
      </c>
      <c r="G197" s="1827" t="e">
        <f t="shared" ca="1" si="281"/>
        <v>#NAME?</v>
      </c>
      <c r="H197" s="1827" t="e">
        <f t="shared" ca="1" si="281"/>
        <v>#NAME?</v>
      </c>
      <c r="I197" s="1827" t="e">
        <f t="shared" ca="1" si="281"/>
        <v>#NAME?</v>
      </c>
      <c r="J197" s="1827" t="e">
        <f t="shared" ca="1" si="281"/>
        <v>#NAME?</v>
      </c>
      <c r="K197" s="1827" t="e">
        <f t="shared" ca="1" si="281"/>
        <v>#NAME?</v>
      </c>
      <c r="L197" s="1827" t="e">
        <f t="shared" ca="1" si="281"/>
        <v>#NAME?</v>
      </c>
      <c r="M197" s="1827" t="e">
        <f t="shared" ca="1" si="281"/>
        <v>#NAME?</v>
      </c>
      <c r="N197" s="1827" t="e">
        <f t="shared" ca="1" si="281"/>
        <v>#NAME?</v>
      </c>
      <c r="O197" s="1828" t="e">
        <f t="shared" ca="1" si="281"/>
        <v>#NAME?</v>
      </c>
      <c r="P197" s="1828" t="e">
        <f t="shared" ref="P197:P202" ca="1" si="282">SUM(D197:O197)</f>
        <v>#NAME?</v>
      </c>
      <c r="Q197" s="1849"/>
    </row>
    <row r="198" spans="1:17" x14ac:dyDescent="0.2">
      <c r="A198" s="1849"/>
      <c r="B198" s="1812" t="s">
        <v>206</v>
      </c>
      <c r="C198" s="1829" t="e">
        <f ca="1">C197*1.73</f>
        <v>#NAME?</v>
      </c>
      <c r="D198" s="1826" t="e">
        <f ca="1">D187*$C198</f>
        <v>#NAME?</v>
      </c>
      <c r="E198" s="1827" t="e">
        <f t="shared" ref="E198:O198" ca="1" si="283">E187*$C198</f>
        <v>#NAME?</v>
      </c>
      <c r="F198" s="1827" t="e">
        <f t="shared" ca="1" si="283"/>
        <v>#NAME?</v>
      </c>
      <c r="G198" s="1827" t="e">
        <f t="shared" ca="1" si="283"/>
        <v>#NAME?</v>
      </c>
      <c r="H198" s="1827" t="e">
        <f t="shared" ca="1" si="283"/>
        <v>#NAME?</v>
      </c>
      <c r="I198" s="1827" t="e">
        <f t="shared" ca="1" si="283"/>
        <v>#NAME?</v>
      </c>
      <c r="J198" s="1827" t="e">
        <f t="shared" ca="1" si="283"/>
        <v>#NAME?</v>
      </c>
      <c r="K198" s="1827" t="e">
        <f t="shared" ca="1" si="283"/>
        <v>#NAME?</v>
      </c>
      <c r="L198" s="1827" t="e">
        <f t="shared" ca="1" si="283"/>
        <v>#NAME?</v>
      </c>
      <c r="M198" s="1827" t="e">
        <f t="shared" ca="1" si="283"/>
        <v>#NAME?</v>
      </c>
      <c r="N198" s="1827" t="e">
        <f t="shared" ca="1" si="283"/>
        <v>#NAME?</v>
      </c>
      <c r="O198" s="1828" t="e">
        <f t="shared" ca="1" si="283"/>
        <v>#NAME?</v>
      </c>
      <c r="P198" s="1828" t="e">
        <f t="shared" ca="1" si="282"/>
        <v>#NAME?</v>
      </c>
      <c r="Q198" s="1849"/>
    </row>
    <row r="199" spans="1:17" x14ac:dyDescent="0.2">
      <c r="A199" s="1849"/>
      <c r="B199" s="1812" t="s">
        <v>207</v>
      </c>
      <c r="C199" s="1829" t="e">
        <f ca="1">C197*1.5</f>
        <v>#NAME?</v>
      </c>
      <c r="D199" s="1826" t="e">
        <f ca="1">D188*$C199</f>
        <v>#NAME?</v>
      </c>
      <c r="E199" s="1827" t="e">
        <f t="shared" ref="E199:O199" ca="1" si="284">E188*$C199</f>
        <v>#NAME?</v>
      </c>
      <c r="F199" s="1827" t="e">
        <f t="shared" ca="1" si="284"/>
        <v>#NAME?</v>
      </c>
      <c r="G199" s="1827" t="e">
        <f t="shared" ca="1" si="284"/>
        <v>#NAME?</v>
      </c>
      <c r="H199" s="1827" t="e">
        <f t="shared" ca="1" si="284"/>
        <v>#NAME?</v>
      </c>
      <c r="I199" s="1827" t="e">
        <f t="shared" ca="1" si="284"/>
        <v>#NAME?</v>
      </c>
      <c r="J199" s="1827" t="e">
        <f t="shared" ca="1" si="284"/>
        <v>#NAME?</v>
      </c>
      <c r="K199" s="1827" t="e">
        <f t="shared" ca="1" si="284"/>
        <v>#NAME?</v>
      </c>
      <c r="L199" s="1827" t="e">
        <f t="shared" ca="1" si="284"/>
        <v>#NAME?</v>
      </c>
      <c r="M199" s="1827" t="e">
        <f t="shared" ca="1" si="284"/>
        <v>#NAME?</v>
      </c>
      <c r="N199" s="1827" t="e">
        <f t="shared" ca="1" si="284"/>
        <v>#NAME?</v>
      </c>
      <c r="O199" s="1828" t="e">
        <f t="shared" ca="1" si="284"/>
        <v>#NAME?</v>
      </c>
      <c r="P199" s="1828" t="e">
        <f t="shared" ca="1" si="282"/>
        <v>#NAME?</v>
      </c>
      <c r="Q199" s="1849"/>
    </row>
    <row r="200" spans="1:17" x14ac:dyDescent="0.2">
      <c r="A200" s="1849"/>
      <c r="B200" s="1812" t="s">
        <v>208</v>
      </c>
      <c r="C200" s="1829" t="e">
        <f ca="1">C197*2</f>
        <v>#NAME?</v>
      </c>
      <c r="D200" s="1826" t="e">
        <f ca="1">D189*$C200</f>
        <v>#NAME?</v>
      </c>
      <c r="E200" s="1827" t="e">
        <f t="shared" ref="E200:O200" ca="1" si="285">E189*$C200</f>
        <v>#NAME?</v>
      </c>
      <c r="F200" s="1827" t="e">
        <f t="shared" ca="1" si="285"/>
        <v>#NAME?</v>
      </c>
      <c r="G200" s="1827" t="e">
        <f t="shared" ca="1" si="285"/>
        <v>#NAME?</v>
      </c>
      <c r="H200" s="1827" t="e">
        <f t="shared" ca="1" si="285"/>
        <v>#NAME?</v>
      </c>
      <c r="I200" s="1827" t="e">
        <f t="shared" ca="1" si="285"/>
        <v>#NAME?</v>
      </c>
      <c r="J200" s="1827" t="e">
        <f t="shared" ca="1" si="285"/>
        <v>#NAME?</v>
      </c>
      <c r="K200" s="1827" t="e">
        <f t="shared" ca="1" si="285"/>
        <v>#NAME?</v>
      </c>
      <c r="L200" s="1827" t="e">
        <f t="shared" ca="1" si="285"/>
        <v>#NAME?</v>
      </c>
      <c r="M200" s="1827" t="e">
        <f t="shared" ca="1" si="285"/>
        <v>#NAME?</v>
      </c>
      <c r="N200" s="1827" t="e">
        <f t="shared" ca="1" si="285"/>
        <v>#NAME?</v>
      </c>
      <c r="O200" s="1828" t="e">
        <f t="shared" ca="1" si="285"/>
        <v>#NAME?</v>
      </c>
      <c r="P200" s="1828" t="e">
        <f t="shared" ca="1" si="282"/>
        <v>#NAME?</v>
      </c>
      <c r="Q200" s="1849"/>
    </row>
    <row r="201" spans="1:17" x14ac:dyDescent="0.2">
      <c r="A201" s="1849"/>
      <c r="B201" s="1812" t="s">
        <v>209</v>
      </c>
      <c r="C201" s="1829" t="e">
        <f ca="1">Inventory!L171/12</f>
        <v>#NAME?</v>
      </c>
      <c r="D201" s="1826" t="e">
        <f t="shared" ref="D201:E201" ca="1" si="286">D194*$C201</f>
        <v>#NAME?</v>
      </c>
      <c r="E201" s="1827" t="e">
        <f t="shared" ca="1" si="286"/>
        <v>#NAME?</v>
      </c>
      <c r="F201" s="1827" t="e">
        <f ca="1">F194*$C201</f>
        <v>#NAME?</v>
      </c>
      <c r="G201" s="1827" t="e">
        <f t="shared" ref="G201:O201" ca="1" si="287">G194*$C201</f>
        <v>#NAME?</v>
      </c>
      <c r="H201" s="1827" t="e">
        <f t="shared" ca="1" si="287"/>
        <v>#NAME?</v>
      </c>
      <c r="I201" s="1827" t="e">
        <f t="shared" ca="1" si="287"/>
        <v>#NAME?</v>
      </c>
      <c r="J201" s="1827" t="e">
        <f t="shared" ca="1" si="287"/>
        <v>#NAME?</v>
      </c>
      <c r="K201" s="1827" t="e">
        <f t="shared" ca="1" si="287"/>
        <v>#NAME?</v>
      </c>
      <c r="L201" s="1827" t="e">
        <f t="shared" ca="1" si="287"/>
        <v>#NAME?</v>
      </c>
      <c r="M201" s="1827" t="e">
        <f t="shared" ca="1" si="287"/>
        <v>#NAME?</v>
      </c>
      <c r="N201" s="1827" t="e">
        <f t="shared" ca="1" si="287"/>
        <v>#NAME?</v>
      </c>
      <c r="O201" s="1828" t="e">
        <f t="shared" ca="1" si="287"/>
        <v>#NAME?</v>
      </c>
      <c r="P201" s="1828" t="e">
        <f t="shared" ca="1" si="282"/>
        <v>#NAME?</v>
      </c>
      <c r="Q201" s="1849"/>
    </row>
    <row r="202" spans="1:17" x14ac:dyDescent="0.2">
      <c r="A202" s="1849"/>
      <c r="B202" s="1812" t="s">
        <v>210</v>
      </c>
      <c r="C202" s="1830" t="e">
        <f ca="1">(3*('Income Statement'!H11-'Income Statement'!H12))/P184</f>
        <v>#NAME?</v>
      </c>
      <c r="D202" s="1826" t="e">
        <f ca="1">D195*$C202</f>
        <v>#NAME?</v>
      </c>
      <c r="E202" s="1827" t="e">
        <f t="shared" ref="E202:O202" ca="1" si="288">E195*$C202</f>
        <v>#NAME?</v>
      </c>
      <c r="F202" s="1827" t="e">
        <f t="shared" ca="1" si="288"/>
        <v>#NAME?</v>
      </c>
      <c r="G202" s="1827" t="e">
        <f t="shared" ca="1" si="288"/>
        <v>#NAME?</v>
      </c>
      <c r="H202" s="1827" t="e">
        <f t="shared" ca="1" si="288"/>
        <v>#NAME?</v>
      </c>
      <c r="I202" s="1827" t="e">
        <f t="shared" ca="1" si="288"/>
        <v>#NAME?</v>
      </c>
      <c r="J202" s="1827" t="e">
        <f t="shared" ca="1" si="288"/>
        <v>#NAME?</v>
      </c>
      <c r="K202" s="1827" t="e">
        <f t="shared" ca="1" si="288"/>
        <v>#NAME?</v>
      </c>
      <c r="L202" s="1827" t="e">
        <f t="shared" ca="1" si="288"/>
        <v>#NAME?</v>
      </c>
      <c r="M202" s="1827" t="e">
        <f t="shared" ca="1" si="288"/>
        <v>#NAME?</v>
      </c>
      <c r="N202" s="1827" t="e">
        <f t="shared" ca="1" si="288"/>
        <v>#NAME?</v>
      </c>
      <c r="O202" s="1828" t="e">
        <f t="shared" ca="1" si="288"/>
        <v>#NAME?</v>
      </c>
      <c r="P202" s="1828" t="e">
        <f t="shared" ca="1" si="282"/>
        <v>#NAME?</v>
      </c>
      <c r="Q202" s="1849"/>
    </row>
    <row r="203" spans="1:17" x14ac:dyDescent="0.2">
      <c r="A203" s="1849"/>
      <c r="B203" s="1812" t="s">
        <v>211</v>
      </c>
      <c r="C203" s="1831"/>
      <c r="D203" s="1832"/>
      <c r="E203" s="1832"/>
      <c r="F203" s="1832"/>
      <c r="G203" s="1832"/>
      <c r="H203" s="1832"/>
      <c r="I203" s="1832"/>
      <c r="J203" s="1832"/>
      <c r="K203" s="1832"/>
      <c r="L203" s="1832"/>
      <c r="M203" s="1832"/>
      <c r="N203" s="1832"/>
      <c r="O203" s="1832"/>
      <c r="P203" s="1828">
        <f>SUM(D203:O203)</f>
        <v>0</v>
      </c>
      <c r="Q203" s="1849"/>
    </row>
    <row r="204" spans="1:17" x14ac:dyDescent="0.2">
      <c r="A204" s="1849"/>
      <c r="B204" s="1833" t="s">
        <v>128</v>
      </c>
      <c r="C204" s="1834"/>
      <c r="D204" s="1835" t="e">
        <f t="shared" ref="D204:P204" ca="1" si="289">SUM(D197:D203)</f>
        <v>#NAME?</v>
      </c>
      <c r="E204" s="1836" t="e">
        <f t="shared" ca="1" si="289"/>
        <v>#NAME?</v>
      </c>
      <c r="F204" s="1836" t="e">
        <f t="shared" ca="1" si="289"/>
        <v>#NAME?</v>
      </c>
      <c r="G204" s="1836" t="e">
        <f t="shared" ca="1" si="289"/>
        <v>#NAME?</v>
      </c>
      <c r="H204" s="1836" t="e">
        <f t="shared" ca="1" si="289"/>
        <v>#NAME?</v>
      </c>
      <c r="I204" s="1836" t="e">
        <f t="shared" ca="1" si="289"/>
        <v>#NAME?</v>
      </c>
      <c r="J204" s="1836" t="e">
        <f t="shared" ca="1" si="289"/>
        <v>#NAME?</v>
      </c>
      <c r="K204" s="1836" t="e">
        <f t="shared" ca="1" si="289"/>
        <v>#NAME?</v>
      </c>
      <c r="L204" s="1836" t="e">
        <f t="shared" ca="1" si="289"/>
        <v>#NAME?</v>
      </c>
      <c r="M204" s="1836" t="e">
        <f t="shared" ca="1" si="289"/>
        <v>#NAME?</v>
      </c>
      <c r="N204" s="1836" t="e">
        <f t="shared" ca="1" si="289"/>
        <v>#NAME?</v>
      </c>
      <c r="O204" s="1837" t="e">
        <f t="shared" ca="1" si="289"/>
        <v>#NAME?</v>
      </c>
      <c r="P204" s="1838" t="e">
        <f t="shared" ca="1" si="289"/>
        <v>#NAME?</v>
      </c>
      <c r="Q204" s="1849"/>
    </row>
    <row r="205" spans="1:17" x14ac:dyDescent="0.2">
      <c r="A205" s="1849"/>
      <c r="B205" s="1849"/>
      <c r="C205" s="1849"/>
      <c r="D205" s="1849"/>
      <c r="E205" s="1849"/>
      <c r="F205" s="1849"/>
      <c r="G205" s="1849"/>
      <c r="H205" s="1849"/>
      <c r="I205" s="1849"/>
      <c r="J205" s="1849"/>
      <c r="K205" s="1849"/>
      <c r="L205" s="1849"/>
      <c r="M205" s="1849"/>
      <c r="N205" s="1849"/>
      <c r="O205" s="1849"/>
      <c r="P205" s="1849"/>
      <c r="Q205" s="1849"/>
    </row>
    <row r="206" spans="1:17" x14ac:dyDescent="0.2">
      <c r="A206" s="1849"/>
      <c r="B206" s="1849"/>
      <c r="C206" s="1849"/>
      <c r="D206" s="1849"/>
      <c r="E206" s="1849"/>
      <c r="F206" s="1849"/>
      <c r="G206" s="1849"/>
      <c r="H206" s="1849"/>
      <c r="I206" s="1849"/>
      <c r="J206" s="1849"/>
      <c r="K206" s="1849"/>
      <c r="L206" s="1849"/>
      <c r="M206" s="1849"/>
      <c r="N206" s="1849"/>
      <c r="O206" s="1849"/>
      <c r="P206" s="1849"/>
      <c r="Q206" s="1849"/>
    </row>
  </sheetData>
  <mergeCells count="14">
    <mergeCell ref="B114:B115"/>
    <mergeCell ref="B147:B148"/>
    <mergeCell ref="B180:B181"/>
    <mergeCell ref="B47:C47"/>
    <mergeCell ref="B2:G2"/>
    <mergeCell ref="B7:N7"/>
    <mergeCell ref="B14:C14"/>
    <mergeCell ref="B16:B17"/>
    <mergeCell ref="B81:B82"/>
    <mergeCell ref="B49:B50"/>
    <mergeCell ref="B79:C79"/>
    <mergeCell ref="B112:C112"/>
    <mergeCell ref="B145:C145"/>
    <mergeCell ref="B178:C178"/>
  </mergeCells>
  <phoneticPr fontId="59" type="noConversion"/>
  <hyperlinks>
    <hyperlink ref="A1" location="Index!A1" display="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Y200"/>
  <sheetViews>
    <sheetView showGridLines="0" topLeftCell="A161" zoomScale="95" zoomScaleNormal="95" zoomScalePageLayoutView="95" workbookViewId="0">
      <selection activeCell="B168" sqref="B168:C169"/>
    </sheetView>
  </sheetViews>
  <sheetFormatPr baseColWidth="10" defaultColWidth="8.83203125" defaultRowHeight="16" x14ac:dyDescent="0.2"/>
  <cols>
    <col min="1" max="1" width="8.6640625" style="745" customWidth="1"/>
    <col min="2" max="2" width="23.1640625" style="745" bestFit="1" customWidth="1"/>
    <col min="3" max="3" width="14.1640625" style="745" customWidth="1"/>
    <col min="4" max="4" width="10.33203125" style="745" customWidth="1"/>
    <col min="5" max="5" width="19.33203125" style="745" customWidth="1"/>
    <col min="6" max="6" width="15.83203125" style="745" customWidth="1"/>
    <col min="7" max="7" width="17.5" style="745" customWidth="1"/>
    <col min="8" max="8" width="13.83203125" style="745" customWidth="1"/>
    <col min="9" max="9" width="13.6640625" style="745" bestFit="1" customWidth="1"/>
    <col min="10" max="10" width="10.5" style="745" customWidth="1"/>
    <col min="11" max="11" width="16.6640625" style="745" bestFit="1" customWidth="1"/>
    <col min="12" max="12" width="12.5" style="745" customWidth="1"/>
    <col min="13" max="13" width="10" style="745" bestFit="1" customWidth="1"/>
    <col min="14" max="14" width="12.1640625" style="745" customWidth="1"/>
    <col min="15" max="15" width="10.33203125" style="745" customWidth="1"/>
    <col min="16" max="16" width="9.1640625" style="745" bestFit="1" customWidth="1"/>
    <col min="17" max="17" width="9" style="745" bestFit="1" customWidth="1"/>
    <col min="18" max="18" width="10" style="745" customWidth="1"/>
    <col min="19" max="19" width="12.1640625" style="745" bestFit="1" customWidth="1"/>
    <col min="20" max="20" width="10.1640625" style="745" customWidth="1"/>
    <col min="21" max="21" width="10.6640625" style="745" customWidth="1"/>
    <col min="22" max="22" width="8.83203125" style="745"/>
    <col min="23" max="23" width="12" style="745" customWidth="1"/>
    <col min="24" max="16384" width="8.83203125" style="745"/>
  </cols>
  <sheetData>
    <row r="1" spans="1:14" x14ac:dyDescent="0.2">
      <c r="A1" s="1771" t="s">
        <v>38</v>
      </c>
    </row>
    <row r="2" spans="1:14" x14ac:dyDescent="0.2">
      <c r="B2" s="1065" t="s">
        <v>212</v>
      </c>
      <c r="C2" s="1066" t="s">
        <v>213</v>
      </c>
      <c r="D2" s="1067" t="s">
        <v>112</v>
      </c>
      <c r="E2" s="969"/>
      <c r="F2" s="791"/>
      <c r="G2" s="1068" t="s">
        <v>188</v>
      </c>
      <c r="H2" s="1069" t="s">
        <v>214</v>
      </c>
    </row>
    <row r="3" spans="1:14" x14ac:dyDescent="0.2">
      <c r="B3" s="970" t="s">
        <v>215</v>
      </c>
      <c r="C3" s="971">
        <v>8</v>
      </c>
      <c r="D3" s="972" t="s">
        <v>216</v>
      </c>
      <c r="E3" s="969"/>
      <c r="F3" s="973" t="s">
        <v>217</v>
      </c>
      <c r="G3" s="974" t="e">
        <f ca="1">M28</f>
        <v>#NAME?</v>
      </c>
      <c r="H3" s="975" t="e">
        <f ca="1">G3</f>
        <v>#NAME?</v>
      </c>
      <c r="J3" s="969"/>
      <c r="K3" s="976"/>
      <c r="L3" s="976"/>
    </row>
    <row r="4" spans="1:14" x14ac:dyDescent="0.2">
      <c r="B4" s="970" t="s">
        <v>218</v>
      </c>
      <c r="C4" s="971">
        <v>17.329999999999998</v>
      </c>
      <c r="D4" s="972" t="s">
        <v>216</v>
      </c>
      <c r="E4" s="969"/>
      <c r="F4" s="977" t="s">
        <v>219</v>
      </c>
      <c r="G4" s="978" t="e">
        <f ca="1">(G3/(1-'General Assumptions'!$C$37)+G3/(1-'General Assumptions'!$C$38))/2</f>
        <v>#NAME?</v>
      </c>
      <c r="H4" s="979" t="e">
        <f ca="1">H3/(1-'General Assumptions'!$C$39)</f>
        <v>#NAME?</v>
      </c>
      <c r="I4" s="969"/>
      <c r="J4" s="969"/>
      <c r="K4" s="976"/>
      <c r="L4" s="976"/>
    </row>
    <row r="5" spans="1:14" x14ac:dyDescent="0.2">
      <c r="B5" s="970" t="s">
        <v>220</v>
      </c>
      <c r="C5" s="971">
        <v>12.5</v>
      </c>
      <c r="D5" s="972" t="s">
        <v>216</v>
      </c>
      <c r="E5" s="969"/>
      <c r="F5" s="969"/>
      <c r="G5" s="969"/>
      <c r="H5" s="969"/>
      <c r="I5" s="969"/>
      <c r="J5" s="969"/>
      <c r="K5" s="969"/>
    </row>
    <row r="6" spans="1:14" x14ac:dyDescent="0.2">
      <c r="B6" s="980" t="s">
        <v>221</v>
      </c>
      <c r="C6" s="981">
        <v>910.53</v>
      </c>
      <c r="D6" s="972" t="s">
        <v>222</v>
      </c>
      <c r="E6" s="969"/>
      <c r="F6" s="969"/>
      <c r="G6" s="969"/>
      <c r="H6" s="969"/>
      <c r="I6" s="969"/>
      <c r="J6" s="969"/>
      <c r="K6" s="969"/>
    </row>
    <row r="7" spans="1:14" x14ac:dyDescent="0.2">
      <c r="B7" s="970" t="s">
        <v>223</v>
      </c>
      <c r="C7" s="971">
        <v>2</v>
      </c>
      <c r="D7" s="982" t="s">
        <v>216</v>
      </c>
      <c r="E7" s="969"/>
      <c r="F7" s="969"/>
      <c r="G7" s="969"/>
      <c r="H7" s="969"/>
      <c r="I7" s="969"/>
      <c r="J7" s="969"/>
      <c r="K7" s="969"/>
    </row>
    <row r="8" spans="1:14" x14ac:dyDescent="0.2">
      <c r="B8" s="970" t="s">
        <v>224</v>
      </c>
      <c r="C8" s="983">
        <v>0.05</v>
      </c>
      <c r="D8" s="972" t="s">
        <v>225</v>
      </c>
      <c r="E8" s="969"/>
      <c r="F8" s="969"/>
      <c r="G8" s="969"/>
      <c r="H8" s="969"/>
      <c r="I8" s="969"/>
      <c r="J8" s="969"/>
      <c r="K8" s="969"/>
    </row>
    <row r="9" spans="1:14" x14ac:dyDescent="0.2">
      <c r="B9" s="970" t="s">
        <v>226</v>
      </c>
      <c r="C9" s="971">
        <v>2.4</v>
      </c>
      <c r="D9" s="982" t="s">
        <v>216</v>
      </c>
      <c r="E9" s="969"/>
      <c r="F9" s="969"/>
      <c r="G9" s="969"/>
      <c r="H9" s="969"/>
      <c r="I9" s="969"/>
      <c r="J9" s="969"/>
      <c r="K9" s="969"/>
    </row>
    <row r="10" spans="1:14" x14ac:dyDescent="0.2">
      <c r="B10" s="984" t="s">
        <v>227</v>
      </c>
      <c r="C10" s="985">
        <v>0.5</v>
      </c>
      <c r="D10" s="986" t="s">
        <v>216</v>
      </c>
      <c r="E10" s="969"/>
      <c r="F10" s="969"/>
      <c r="G10" s="969"/>
      <c r="H10" s="969"/>
      <c r="I10" s="969"/>
      <c r="J10" s="969"/>
      <c r="K10" s="969"/>
    </row>
    <row r="11" spans="1:14" x14ac:dyDescent="0.2">
      <c r="B11" s="969"/>
      <c r="C11" s="969"/>
      <c r="D11" s="969"/>
      <c r="E11" s="969"/>
      <c r="F11" s="969"/>
      <c r="G11" s="969"/>
      <c r="H11" s="969"/>
      <c r="I11" s="969"/>
      <c r="J11" s="969"/>
      <c r="K11" s="969"/>
    </row>
    <row r="12" spans="1:14" ht="48" x14ac:dyDescent="0.2">
      <c r="B12" s="1070" t="s">
        <v>228</v>
      </c>
      <c r="C12" s="1071" t="s">
        <v>229</v>
      </c>
      <c r="D12" s="1071" t="s">
        <v>230</v>
      </c>
      <c r="E12" s="1071" t="s">
        <v>112</v>
      </c>
      <c r="F12" s="1072" t="s">
        <v>80</v>
      </c>
      <c r="G12" s="1071" t="s">
        <v>231</v>
      </c>
      <c r="H12" s="1071" t="s">
        <v>232</v>
      </c>
      <c r="I12" s="1071" t="s">
        <v>233</v>
      </c>
      <c r="J12" s="1071" t="s">
        <v>234</v>
      </c>
      <c r="K12" s="1071" t="s">
        <v>112</v>
      </c>
      <c r="L12" s="1071" t="s">
        <v>235</v>
      </c>
      <c r="M12" s="1071" t="s">
        <v>236</v>
      </c>
      <c r="N12" s="1073" t="s">
        <v>237</v>
      </c>
    </row>
    <row r="13" spans="1:14" ht="48" x14ac:dyDescent="0.2">
      <c r="B13" s="987" t="s">
        <v>238</v>
      </c>
      <c r="C13" s="1119" t="s">
        <v>239</v>
      </c>
      <c r="D13" s="1124">
        <v>1</v>
      </c>
      <c r="E13" s="988" t="s">
        <v>240</v>
      </c>
      <c r="F13" s="858" t="s">
        <v>241</v>
      </c>
      <c r="G13" s="858" t="s">
        <v>242</v>
      </c>
      <c r="H13" s="1128">
        <v>0.25</v>
      </c>
      <c r="I13" s="1128" t="e">
        <f ca="1">Logistics!I13/Logistics!E13</f>
        <v>#NAME?</v>
      </c>
      <c r="J13" s="1129">
        <v>1</v>
      </c>
      <c r="K13" s="1129" t="s">
        <v>240</v>
      </c>
      <c r="L13" s="1129">
        <v>1</v>
      </c>
      <c r="M13" s="1128" t="e">
        <f ca="1">L13*H13+I13*D13/J13</f>
        <v>#NAME?</v>
      </c>
      <c r="N13" s="1130">
        <f>L13*H13</f>
        <v>0.25</v>
      </c>
    </row>
    <row r="14" spans="1:14" ht="64" x14ac:dyDescent="0.2">
      <c r="B14" s="987" t="s">
        <v>243</v>
      </c>
      <c r="C14" s="1119" t="s">
        <v>244</v>
      </c>
      <c r="D14" s="1124">
        <v>1</v>
      </c>
      <c r="E14" s="988" t="s">
        <v>240</v>
      </c>
      <c r="F14" s="858" t="s">
        <v>245</v>
      </c>
      <c r="G14" s="858" t="s">
        <v>246</v>
      </c>
      <c r="H14" s="1128">
        <v>8.0000000000000002E-3</v>
      </c>
      <c r="I14" s="1128" t="e">
        <f ca="1">Logistics!I14/Logistics!E14</f>
        <v>#NAME?</v>
      </c>
      <c r="J14" s="1129">
        <v>1</v>
      </c>
      <c r="K14" s="1129" t="s">
        <v>240</v>
      </c>
      <c r="L14" s="1129">
        <v>1</v>
      </c>
      <c r="M14" s="1128" t="e">
        <f ca="1">L14*H14+I14*D14/J14</f>
        <v>#NAME?</v>
      </c>
      <c r="N14" s="1130">
        <f t="shared" ref="N14:N27" si="0">L14*H14</f>
        <v>8.0000000000000002E-3</v>
      </c>
    </row>
    <row r="15" spans="1:14" ht="80" x14ac:dyDescent="0.2">
      <c r="B15" s="987" t="s">
        <v>247</v>
      </c>
      <c r="C15" s="1119" t="s">
        <v>248</v>
      </c>
      <c r="D15" s="1124">
        <v>4</v>
      </c>
      <c r="E15" s="988" t="s">
        <v>240</v>
      </c>
      <c r="F15" s="863" t="s">
        <v>249</v>
      </c>
      <c r="G15" s="989" t="s">
        <v>250</v>
      </c>
      <c r="H15" s="1128">
        <v>0.4</v>
      </c>
      <c r="I15" s="1128" t="e">
        <f ca="1">Logistics!I15/Logistics!E15</f>
        <v>#NAME?</v>
      </c>
      <c r="J15" s="1129">
        <v>1</v>
      </c>
      <c r="K15" s="1129" t="s">
        <v>240</v>
      </c>
      <c r="L15" s="1129">
        <f t="shared" ref="L15:L27" si="1">D15/J15</f>
        <v>4</v>
      </c>
      <c r="M15" s="1128" t="e">
        <f ca="1">L15*H15+I15*D15/J15</f>
        <v>#NAME?</v>
      </c>
      <c r="N15" s="1130">
        <f t="shared" si="0"/>
        <v>1.6</v>
      </c>
    </row>
    <row r="16" spans="1:14" ht="96" x14ac:dyDescent="0.2">
      <c r="B16" s="987" t="s">
        <v>251</v>
      </c>
      <c r="C16" s="1119" t="s">
        <v>252</v>
      </c>
      <c r="D16" s="1125">
        <f>C6*(1+C8) + (2/3)*C3*C7 + C3*C5*(1+C8) +  2*C4*(C9+2*C10)*(1+C8)</f>
        <v>1195.4593666666667</v>
      </c>
      <c r="E16" s="988" t="s">
        <v>222</v>
      </c>
      <c r="F16" s="861" t="s">
        <v>253</v>
      </c>
      <c r="G16" s="989" t="s">
        <v>254</v>
      </c>
      <c r="H16" s="1128">
        <v>6.75</v>
      </c>
      <c r="I16" s="1128" t="e">
        <f ca="1">Logistics!I16/Logistics!E16</f>
        <v>#NAME?</v>
      </c>
      <c r="J16" s="1129">
        <v>2088</v>
      </c>
      <c r="K16" s="1129" t="s">
        <v>222</v>
      </c>
      <c r="L16" s="1129">
        <f t="shared" si="1"/>
        <v>0.57253801085568334</v>
      </c>
      <c r="M16" s="1128" t="e">
        <f t="shared" ref="M16:M27" ca="1" si="2">L16*H16+I16*D16/J16</f>
        <v>#NAME?</v>
      </c>
      <c r="N16" s="1130">
        <f t="shared" si="0"/>
        <v>3.8646315732758625</v>
      </c>
    </row>
    <row r="17" spans="1:20" ht="32" x14ac:dyDescent="0.2">
      <c r="B17" s="990" t="s">
        <v>255</v>
      </c>
      <c r="C17" s="1119" t="s">
        <v>256</v>
      </c>
      <c r="D17" s="1126">
        <v>1</v>
      </c>
      <c r="E17" s="988" t="s">
        <v>222</v>
      </c>
      <c r="F17" s="863" t="s">
        <v>257</v>
      </c>
      <c r="G17" s="989" t="s">
        <v>254</v>
      </c>
      <c r="H17" s="1128">
        <v>4</v>
      </c>
      <c r="I17" s="1128" t="e">
        <f ca="1">Logistics!I17/Logistics!E17</f>
        <v>#NAME?</v>
      </c>
      <c r="J17" s="1129">
        <v>1</v>
      </c>
      <c r="K17" s="1129" t="s">
        <v>240</v>
      </c>
      <c r="L17" s="1129">
        <f t="shared" si="1"/>
        <v>1</v>
      </c>
      <c r="M17" s="1128" t="e">
        <f t="shared" ca="1" si="2"/>
        <v>#NAME?</v>
      </c>
      <c r="N17" s="1130">
        <f t="shared" si="0"/>
        <v>4</v>
      </c>
    </row>
    <row r="18" spans="1:20" ht="48" x14ac:dyDescent="0.2">
      <c r="B18" s="987" t="s">
        <v>258</v>
      </c>
      <c r="C18" s="859" t="s">
        <v>259</v>
      </c>
      <c r="D18" s="1124">
        <v>1</v>
      </c>
      <c r="E18" s="988" t="s">
        <v>240</v>
      </c>
      <c r="F18" s="863" t="s">
        <v>260</v>
      </c>
      <c r="G18" s="989" t="s">
        <v>261</v>
      </c>
      <c r="H18" s="1128">
        <v>4.5</v>
      </c>
      <c r="I18" s="1128" t="e">
        <f ca="1">Logistics!I18/Logistics!E18</f>
        <v>#NAME?</v>
      </c>
      <c r="J18" s="1129">
        <v>1</v>
      </c>
      <c r="K18" s="1129" t="s">
        <v>240</v>
      </c>
      <c r="L18" s="1129">
        <f t="shared" si="1"/>
        <v>1</v>
      </c>
      <c r="M18" s="1128" t="e">
        <f t="shared" ca="1" si="2"/>
        <v>#NAME?</v>
      </c>
      <c r="N18" s="1130">
        <f t="shared" si="0"/>
        <v>4.5</v>
      </c>
    </row>
    <row r="19" spans="1:20" ht="32" x14ac:dyDescent="0.2">
      <c r="B19" s="990" t="s">
        <v>262</v>
      </c>
      <c r="C19" s="858" t="s">
        <v>263</v>
      </c>
      <c r="D19" s="1126">
        <f>2.5*1*2</f>
        <v>5</v>
      </c>
      <c r="E19" s="988" t="s">
        <v>222</v>
      </c>
      <c r="F19" s="863" t="s">
        <v>264</v>
      </c>
      <c r="G19" s="989" t="s">
        <v>254</v>
      </c>
      <c r="H19" s="1128">
        <v>5.8</v>
      </c>
      <c r="I19" s="1128" t="e">
        <f ca="1">Logistics!I19/Logistics!E19</f>
        <v>#NAME?</v>
      </c>
      <c r="J19" s="1129">
        <f>55*36</f>
        <v>1980</v>
      </c>
      <c r="K19" s="1129" t="s">
        <v>222</v>
      </c>
      <c r="L19" s="1129">
        <f t="shared" si="1"/>
        <v>2.5252525252525255E-3</v>
      </c>
      <c r="M19" s="1128" t="e">
        <f t="shared" ca="1" si="2"/>
        <v>#NAME?</v>
      </c>
      <c r="N19" s="1130">
        <f t="shared" si="0"/>
        <v>1.4646464646464647E-2</v>
      </c>
    </row>
    <row r="20" spans="1:20" ht="48" x14ac:dyDescent="0.2">
      <c r="B20" s="987" t="s">
        <v>265</v>
      </c>
      <c r="C20" s="1119" t="s">
        <v>266</v>
      </c>
      <c r="D20" s="1124">
        <f>C4*C5*(1+C8) + C4*C9*2 + C4*C5</f>
        <v>527.26524999999992</v>
      </c>
      <c r="E20" s="988" t="s">
        <v>222</v>
      </c>
      <c r="F20" s="863" t="s">
        <v>267</v>
      </c>
      <c r="G20" s="989" t="s">
        <v>254</v>
      </c>
      <c r="H20" s="1128">
        <v>2.8</v>
      </c>
      <c r="I20" s="1128" t="e">
        <f ca="1">Logistics!I20/Logistics!E20</f>
        <v>#NAME?</v>
      </c>
      <c r="J20" s="1129">
        <v>1550</v>
      </c>
      <c r="K20" s="1129" t="s">
        <v>222</v>
      </c>
      <c r="L20" s="1129">
        <f t="shared" si="1"/>
        <v>0.34017112903225799</v>
      </c>
      <c r="M20" s="1128" t="e">
        <f t="shared" ca="1" si="2"/>
        <v>#NAME?</v>
      </c>
      <c r="N20" s="1130">
        <f t="shared" si="0"/>
        <v>0.95247916129032228</v>
      </c>
    </row>
    <row r="21" spans="1:20" ht="48" x14ac:dyDescent="0.2">
      <c r="B21" s="987" t="s">
        <v>268</v>
      </c>
      <c r="C21" s="1119" t="s">
        <v>269</v>
      </c>
      <c r="D21" s="1124">
        <f>C4*C5*(1+C8) + 2*C4*C9</f>
        <v>310.64024999999998</v>
      </c>
      <c r="E21" s="988" t="s">
        <v>222</v>
      </c>
      <c r="F21" s="863" t="s">
        <v>270</v>
      </c>
      <c r="G21" s="989" t="s">
        <v>271</v>
      </c>
      <c r="H21" s="1128">
        <v>5</v>
      </c>
      <c r="I21" s="1128" t="e">
        <f ca="1">Logistics!I21/Logistics!E21</f>
        <v>#NAME?</v>
      </c>
      <c r="J21" s="1129">
        <f>12.204724*17.322835</f>
        <v>211.42042007254003</v>
      </c>
      <c r="K21" s="1129" t="s">
        <v>222</v>
      </c>
      <c r="L21" s="1129">
        <f t="shared" si="1"/>
        <v>1.4693010726845441</v>
      </c>
      <c r="M21" s="1128" t="e">
        <f t="shared" ca="1" si="2"/>
        <v>#NAME?</v>
      </c>
      <c r="N21" s="1130">
        <f t="shared" si="0"/>
        <v>7.3465053634227209</v>
      </c>
    </row>
    <row r="22" spans="1:20" ht="80" x14ac:dyDescent="0.2">
      <c r="B22" s="987" t="s">
        <v>272</v>
      </c>
      <c r="C22" s="1119" t="s">
        <v>273</v>
      </c>
      <c r="D22" s="1124">
        <v>2</v>
      </c>
      <c r="E22" s="988" t="s">
        <v>240</v>
      </c>
      <c r="F22" s="991" t="s">
        <v>274</v>
      </c>
      <c r="G22" s="989" t="s">
        <v>275</v>
      </c>
      <c r="H22" s="1128">
        <v>0.25</v>
      </c>
      <c r="I22" s="1128" t="e">
        <f ca="1">Logistics!I22/Logistics!E22</f>
        <v>#NAME?</v>
      </c>
      <c r="J22" s="1129">
        <v>1</v>
      </c>
      <c r="K22" s="1129" t="s">
        <v>240</v>
      </c>
      <c r="L22" s="1129">
        <f t="shared" si="1"/>
        <v>2</v>
      </c>
      <c r="M22" s="1128" t="e">
        <f t="shared" ca="1" si="2"/>
        <v>#NAME?</v>
      </c>
      <c r="N22" s="1130">
        <f t="shared" si="0"/>
        <v>0.5</v>
      </c>
    </row>
    <row r="23" spans="1:20" ht="48" x14ac:dyDescent="0.2">
      <c r="B23" s="987" t="s">
        <v>276</v>
      </c>
      <c r="C23" s="1119" t="s">
        <v>277</v>
      </c>
      <c r="D23" s="1124">
        <f>18*2</f>
        <v>36</v>
      </c>
      <c r="E23" s="988" t="s">
        <v>216</v>
      </c>
      <c r="F23" s="863" t="s">
        <v>278</v>
      </c>
      <c r="G23" s="989" t="s">
        <v>254</v>
      </c>
      <c r="H23" s="1128">
        <v>0.05</v>
      </c>
      <c r="I23" s="1128" t="e">
        <f ca="1">Logistics!I23/Logistics!E23</f>
        <v>#NAME?</v>
      </c>
      <c r="J23" s="1129">
        <v>39.370100000000001</v>
      </c>
      <c r="K23" s="1129" t="s">
        <v>216</v>
      </c>
      <c r="L23" s="1129">
        <f t="shared" si="1"/>
        <v>0.91439950622426658</v>
      </c>
      <c r="M23" s="1128" t="e">
        <f t="shared" ca="1" si="2"/>
        <v>#NAME?</v>
      </c>
      <c r="N23" s="1130">
        <f t="shared" si="0"/>
        <v>4.5719975311213329E-2</v>
      </c>
    </row>
    <row r="24" spans="1:20" ht="32" x14ac:dyDescent="0.2">
      <c r="B24" s="987" t="s">
        <v>279</v>
      </c>
      <c r="C24" s="1119" t="s">
        <v>280</v>
      </c>
      <c r="D24" s="1124">
        <f>(C6*(1+C8) + (2/3)*C3*C7 + C3*C5*(1+C8) +  2*C4*(C9+2*C10)*(1+C8)) + (((C4-4)*C5)*(1+C8))+C4*C5*(1+C8)</f>
        <v>1597.8718666666666</v>
      </c>
      <c r="E24" s="988" t="s">
        <v>222</v>
      </c>
      <c r="F24" s="991" t="s">
        <v>281</v>
      </c>
      <c r="G24" s="989" t="s">
        <v>254</v>
      </c>
      <c r="H24" s="1128">
        <v>1.8</v>
      </c>
      <c r="I24" s="1128" t="e">
        <f ca="1">Logistics!I24/Logistics!E24</f>
        <v>#NAME?</v>
      </c>
      <c r="J24" s="1129">
        <f>39.3701*58</f>
        <v>2283.4657999999999</v>
      </c>
      <c r="K24" s="1129" t="s">
        <v>222</v>
      </c>
      <c r="L24" s="1129">
        <f t="shared" si="1"/>
        <v>0.69975730167128702</v>
      </c>
      <c r="M24" s="1128" t="e">
        <f t="shared" ca="1" si="2"/>
        <v>#NAME?</v>
      </c>
      <c r="N24" s="1130">
        <f t="shared" si="0"/>
        <v>1.2595631430083167</v>
      </c>
      <c r="O24" s="968"/>
      <c r="P24" s="968"/>
      <c r="Q24" s="968"/>
      <c r="R24" s="968"/>
    </row>
    <row r="25" spans="1:20" ht="64" x14ac:dyDescent="0.2">
      <c r="B25" s="987" t="s">
        <v>282</v>
      </c>
      <c r="C25" s="1119" t="s">
        <v>283</v>
      </c>
      <c r="D25" s="1124">
        <f>C4*C5</f>
        <v>216.62499999999997</v>
      </c>
      <c r="E25" s="988" t="s">
        <v>222</v>
      </c>
      <c r="F25" s="863" t="s">
        <v>284</v>
      </c>
      <c r="G25" s="989" t="s">
        <v>285</v>
      </c>
      <c r="H25" s="1128">
        <v>3</v>
      </c>
      <c r="I25" s="1128" t="e">
        <f ca="1">Logistics!I25/Logistics!E25</f>
        <v>#NAME?</v>
      </c>
      <c r="J25" s="1129">
        <f>39.370079*56</f>
        <v>2204.724424</v>
      </c>
      <c r="K25" s="1129" t="s">
        <v>222</v>
      </c>
      <c r="L25" s="1129">
        <f t="shared" si="1"/>
        <v>9.8254910065803294E-2</v>
      </c>
      <c r="M25" s="1128" t="e">
        <f t="shared" ca="1" si="2"/>
        <v>#NAME?</v>
      </c>
      <c r="N25" s="1130">
        <f t="shared" si="0"/>
        <v>0.2947647301974099</v>
      </c>
      <c r="O25" s="968"/>
      <c r="P25" s="968"/>
      <c r="Q25" s="968"/>
      <c r="R25" s="968"/>
    </row>
    <row r="26" spans="1:20" ht="64" x14ac:dyDescent="0.2">
      <c r="B26" s="987" t="s">
        <v>286</v>
      </c>
      <c r="C26" s="1119" t="s">
        <v>287</v>
      </c>
      <c r="D26" s="1124">
        <f>(4*C4+4*C5+4*C3)*(1+C8) + (6.5+5.3)*2*(1+C8)</f>
        <v>183.666</v>
      </c>
      <c r="E26" s="988" t="s">
        <v>216</v>
      </c>
      <c r="F26" s="991" t="s">
        <v>288</v>
      </c>
      <c r="G26" s="989" t="s">
        <v>289</v>
      </c>
      <c r="H26" s="1128">
        <v>0.1</v>
      </c>
      <c r="I26" s="1128" t="e">
        <f ca="1">Logistics!I26/Logistics!E26</f>
        <v>#NAME?</v>
      </c>
      <c r="J26" s="1129">
        <v>39.370100000000001</v>
      </c>
      <c r="K26" s="1129" t="s">
        <v>216</v>
      </c>
      <c r="L26" s="1129">
        <f t="shared" si="1"/>
        <v>4.6651138808385042</v>
      </c>
      <c r="M26" s="1128" t="e">
        <f t="shared" ca="1" si="2"/>
        <v>#NAME?</v>
      </c>
      <c r="N26" s="1130">
        <f t="shared" si="0"/>
        <v>0.46651138808385045</v>
      </c>
      <c r="O26" s="968"/>
      <c r="P26" s="968"/>
      <c r="Q26" s="968"/>
      <c r="R26" s="968"/>
    </row>
    <row r="27" spans="1:20" ht="64" x14ac:dyDescent="0.2">
      <c r="B27" s="992" t="s">
        <v>290</v>
      </c>
      <c r="C27" s="1120" t="s">
        <v>291</v>
      </c>
      <c r="D27" s="1127">
        <f>C5*(1+C8)</f>
        <v>13.125</v>
      </c>
      <c r="E27" s="993" t="s">
        <v>216</v>
      </c>
      <c r="F27" s="866" t="s">
        <v>292</v>
      </c>
      <c r="G27" s="876" t="s">
        <v>293</v>
      </c>
      <c r="H27" s="1131">
        <v>0.12</v>
      </c>
      <c r="I27" s="1131" t="e">
        <f ca="1">Logistics!I27/Logistics!E27</f>
        <v>#NAME?</v>
      </c>
      <c r="J27" s="1132">
        <v>39.370100000000001</v>
      </c>
      <c r="K27" s="1133" t="s">
        <v>216</v>
      </c>
      <c r="L27" s="1133">
        <f t="shared" si="1"/>
        <v>0.33337481997759721</v>
      </c>
      <c r="M27" s="1134" t="e">
        <f t="shared" ca="1" si="2"/>
        <v>#NAME?</v>
      </c>
      <c r="N27" s="1135">
        <f t="shared" si="0"/>
        <v>4.0004978397311666E-2</v>
      </c>
      <c r="O27" s="968"/>
      <c r="P27" s="968"/>
      <c r="Q27" s="968"/>
      <c r="R27" s="968"/>
    </row>
    <row r="28" spans="1:20" x14ac:dyDescent="0.2">
      <c r="K28" s="2868" t="s">
        <v>294</v>
      </c>
      <c r="L28" s="2869"/>
      <c r="M28" s="994" t="e">
        <f ca="1">SUM(M13:M27)</f>
        <v>#NAME?</v>
      </c>
      <c r="N28" s="995">
        <f>SUM(N13:N27)</f>
        <v>25.142826777633477</v>
      </c>
      <c r="O28" s="968"/>
      <c r="P28" s="968"/>
      <c r="Q28" s="968"/>
      <c r="R28" s="968"/>
    </row>
    <row r="29" spans="1:20" x14ac:dyDescent="0.2">
      <c r="B29" s="999"/>
      <c r="C29" s="999"/>
      <c r="D29" s="996"/>
      <c r="E29" s="996"/>
      <c r="F29" s="996"/>
      <c r="G29" s="996"/>
      <c r="H29" s="996"/>
      <c r="I29" s="996"/>
      <c r="J29" s="996"/>
      <c r="K29" s="996"/>
      <c r="L29" s="996"/>
      <c r="M29" s="996"/>
      <c r="N29" s="996"/>
      <c r="O29" s="996"/>
      <c r="P29" s="996"/>
      <c r="Q29" s="996"/>
      <c r="R29" s="996"/>
      <c r="S29" s="996"/>
      <c r="T29" s="996"/>
    </row>
    <row r="30" spans="1:20" s="1005" customFormat="1" ht="1.25" customHeight="1" x14ac:dyDescent="0.2">
      <c r="A30" s="1002"/>
      <c r="B30" s="1003"/>
      <c r="C30" s="1003"/>
      <c r="D30" s="1004"/>
      <c r="E30" s="1004"/>
      <c r="F30" s="1004"/>
      <c r="G30" s="1004"/>
      <c r="H30" s="1004"/>
      <c r="I30" s="1004"/>
      <c r="J30" s="1004"/>
      <c r="K30" s="1004"/>
      <c r="L30" s="1004"/>
      <c r="M30" s="1004"/>
      <c r="N30" s="1004"/>
      <c r="O30" s="1004"/>
      <c r="P30" s="1004"/>
      <c r="Q30" s="1004"/>
      <c r="R30" s="1004"/>
      <c r="S30" s="1004"/>
      <c r="T30" s="1004"/>
    </row>
    <row r="31" spans="1:20" x14ac:dyDescent="0.2">
      <c r="B31" s="996"/>
      <c r="C31" s="996"/>
      <c r="D31" s="996"/>
      <c r="E31" s="996"/>
      <c r="F31" s="996"/>
      <c r="G31" s="996"/>
      <c r="H31" s="996"/>
      <c r="I31" s="996"/>
      <c r="J31" s="996"/>
      <c r="K31" s="996"/>
      <c r="L31" s="996"/>
      <c r="M31" s="996"/>
      <c r="N31" s="996"/>
      <c r="O31" s="996"/>
      <c r="P31" s="996"/>
      <c r="Q31" s="996"/>
      <c r="R31" s="996"/>
      <c r="S31" s="996"/>
      <c r="T31" s="996"/>
    </row>
    <row r="32" spans="1:20" x14ac:dyDescent="0.2">
      <c r="B32" s="2870" t="s">
        <v>295</v>
      </c>
      <c r="C32" s="2871"/>
      <c r="D32" s="996"/>
      <c r="E32" s="2874" t="s">
        <v>296</v>
      </c>
      <c r="F32" s="2875"/>
      <c r="G32" s="996"/>
      <c r="H32" s="2874" t="s">
        <v>297</v>
      </c>
      <c r="I32" s="2875"/>
      <c r="J32" s="996"/>
      <c r="K32" s="2878" t="s">
        <v>298</v>
      </c>
      <c r="L32" s="2879"/>
      <c r="M32" s="996"/>
      <c r="N32" s="996"/>
      <c r="O32" s="996"/>
      <c r="P32" s="996"/>
      <c r="Q32" s="996"/>
      <c r="R32" s="996"/>
      <c r="S32" s="996"/>
      <c r="T32" s="996"/>
    </row>
    <row r="33" spans="2:22" x14ac:dyDescent="0.2">
      <c r="B33" s="2872"/>
      <c r="C33" s="2873"/>
      <c r="D33" s="996"/>
      <c r="E33" s="2876"/>
      <c r="F33" s="2877"/>
      <c r="G33" s="996"/>
      <c r="H33" s="2876"/>
      <c r="I33" s="2877"/>
      <c r="J33" s="996"/>
      <c r="K33" s="2880"/>
      <c r="L33" s="2881"/>
      <c r="M33" s="996"/>
      <c r="N33" s="996"/>
      <c r="O33" s="996"/>
      <c r="P33" s="996"/>
      <c r="Q33" s="996"/>
      <c r="R33" s="996"/>
      <c r="S33" s="996"/>
      <c r="T33" s="996"/>
    </row>
    <row r="34" spans="2:22" x14ac:dyDescent="0.2">
      <c r="B34" s="1006" t="s">
        <v>299</v>
      </c>
      <c r="C34" s="1007"/>
      <c r="D34" s="996"/>
      <c r="E34" s="1006" t="s">
        <v>300</v>
      </c>
      <c r="F34" s="1007" t="e">
        <f ca="1">ROUNDUP(C42/2,0)</f>
        <v>#NAME?</v>
      </c>
      <c r="G34" s="996"/>
      <c r="H34" s="1006" t="s">
        <v>301</v>
      </c>
      <c r="I34" s="1635" t="e">
        <f ca="1">SUM(S48:S62)*'Scrap + Defect'!F3</f>
        <v>#NAME?</v>
      </c>
      <c r="J34" s="996"/>
      <c r="K34" s="1020" t="s">
        <v>302</v>
      </c>
      <c r="L34" s="1989">
        <f>'General Assumptions'!C25</f>
        <v>1140</v>
      </c>
      <c r="M34" s="996"/>
      <c r="N34" s="996"/>
      <c r="O34" s="996"/>
      <c r="P34" s="996"/>
      <c r="Q34" s="996"/>
      <c r="R34" s="996"/>
      <c r="S34" s="996"/>
      <c r="T34" s="996"/>
    </row>
    <row r="35" spans="2:22" x14ac:dyDescent="0.2">
      <c r="B35" s="1006" t="s">
        <v>303</v>
      </c>
      <c r="C35" s="1007" t="e">
        <f ca="1">'BASES MODEL (Base Case)'!$C$37</f>
        <v>#NAME?</v>
      </c>
      <c r="D35" s="996"/>
      <c r="E35" s="1006" t="s">
        <v>304</v>
      </c>
      <c r="F35" s="1007" t="e">
        <f ca="1">ROUNDUP($I$44*C43*SQRT('General Assumptions'!$C$21),0)</f>
        <v>#NAME?</v>
      </c>
      <c r="G35" s="996"/>
      <c r="H35" s="1006" t="s">
        <v>305</v>
      </c>
      <c r="I35" s="1635" t="e">
        <f ca="1">F41*(SUMPRODUCT(C48:C62,D48:D62)+$C38)/2</f>
        <v>#NAME?</v>
      </c>
      <c r="J35" s="996"/>
      <c r="K35" s="997" t="s">
        <v>306</v>
      </c>
      <c r="L35" s="1990" t="e">
        <f ca="1">'General Assumptions'!$C$20*C38</f>
        <v>#NAME?</v>
      </c>
      <c r="M35" s="996"/>
      <c r="N35" s="996"/>
      <c r="O35" s="996"/>
      <c r="P35" s="996"/>
      <c r="Q35" s="996"/>
      <c r="R35" s="996"/>
      <c r="S35" s="996"/>
      <c r="T35" s="996"/>
    </row>
    <row r="36" spans="2:22" x14ac:dyDescent="0.2">
      <c r="B36" s="1006" t="s">
        <v>307</v>
      </c>
      <c r="C36" s="1007" t="e">
        <f ca="1">0.5*C35</f>
        <v>#NAME?</v>
      </c>
      <c r="D36" s="996"/>
      <c r="E36" s="1009" t="s">
        <v>308</v>
      </c>
      <c r="F36" s="1011" t="e">
        <f ca="1">F35-F34</f>
        <v>#NAME?</v>
      </c>
      <c r="G36" s="996"/>
      <c r="H36" s="1006" t="s">
        <v>309</v>
      </c>
      <c r="I36" s="1635" t="e">
        <f ca="1">F37*$C38</f>
        <v>#NAME?</v>
      </c>
      <c r="J36" s="996"/>
      <c r="K36" s="1001" t="s">
        <v>310</v>
      </c>
      <c r="L36" s="1991" t="e">
        <f ca="1">C35</f>
        <v>#NAME?</v>
      </c>
      <c r="M36" s="996"/>
      <c r="N36" s="996"/>
      <c r="O36" s="996"/>
      <c r="P36" s="996"/>
      <c r="Q36" s="996"/>
      <c r="R36" s="996"/>
      <c r="S36" s="996"/>
      <c r="T36" s="996"/>
    </row>
    <row r="37" spans="2:22" x14ac:dyDescent="0.2">
      <c r="B37" s="1006" t="s">
        <v>311</v>
      </c>
      <c r="C37" s="1007" t="e">
        <f ca="1">2*C35</f>
        <v>#NAME?</v>
      </c>
      <c r="D37" s="996"/>
      <c r="E37" s="2033" t="s">
        <v>312</v>
      </c>
      <c r="F37" s="2025" t="e">
        <f ca="1">SUM(F34:F36)</f>
        <v>#NAME?</v>
      </c>
      <c r="G37" s="996"/>
      <c r="H37" s="2030" t="s">
        <v>128</v>
      </c>
      <c r="I37" s="2031" t="e">
        <f ca="1">SUM(I34:I36)</f>
        <v>#NAME?</v>
      </c>
      <c r="J37" s="996"/>
      <c r="K37" s="999"/>
      <c r="L37" s="1000"/>
      <c r="M37" s="996"/>
      <c r="N37" s="996"/>
      <c r="O37" s="996"/>
      <c r="P37" s="996"/>
      <c r="Q37" s="996"/>
      <c r="R37" s="996"/>
      <c r="S37" s="996"/>
      <c r="T37" s="996"/>
    </row>
    <row r="38" spans="2:22" x14ac:dyDescent="0.2">
      <c r="B38" s="1015" t="s">
        <v>313</v>
      </c>
      <c r="C38" s="1019" t="e">
        <f ca="1">$N$28+'FE Assumptions'!D45+'FE Assumptions'!D48/'BASES MODEL (Base Case)'!C37</f>
        <v>#NAME?</v>
      </c>
      <c r="D38" s="996"/>
      <c r="E38" s="996"/>
      <c r="F38" s="996"/>
      <c r="G38" s="996"/>
      <c r="H38" s="1016"/>
      <c r="I38" s="1016"/>
      <c r="J38" s="996"/>
      <c r="K38" s="996"/>
      <c r="L38" s="996"/>
      <c r="M38" s="996"/>
      <c r="N38" s="996"/>
      <c r="O38" s="996"/>
      <c r="P38" s="996"/>
      <c r="Q38" s="996"/>
      <c r="R38" s="996"/>
      <c r="S38" s="996"/>
      <c r="T38" s="996"/>
    </row>
    <row r="39" spans="2:22" x14ac:dyDescent="0.2">
      <c r="B39" s="1006" t="s">
        <v>314</v>
      </c>
      <c r="C39" s="1007" t="e">
        <f ca="1">ROUNDUP((4*C35+C36+C37)/6,0)</f>
        <v>#NAME?</v>
      </c>
      <c r="D39" s="996"/>
      <c r="E39" s="2874" t="s">
        <v>315</v>
      </c>
      <c r="F39" s="2875"/>
      <c r="G39" s="996"/>
      <c r="H39" s="2878" t="s">
        <v>316</v>
      </c>
      <c r="I39" s="2879"/>
      <c r="J39" s="996"/>
      <c r="K39" s="996"/>
      <c r="L39" s="996"/>
      <c r="M39" s="996"/>
      <c r="N39" s="996"/>
      <c r="O39" s="996"/>
      <c r="P39" s="996"/>
      <c r="Q39" s="996"/>
      <c r="R39" s="996"/>
      <c r="S39" s="996"/>
      <c r="T39" s="996"/>
    </row>
    <row r="40" spans="2:22" x14ac:dyDescent="0.2">
      <c r="B40" s="1006" t="s">
        <v>317</v>
      </c>
      <c r="C40" s="1017" t="e">
        <f ca="1">(C37-C36)/6</f>
        <v>#NAME?</v>
      </c>
      <c r="D40" s="996"/>
      <c r="E40" s="2876"/>
      <c r="F40" s="2877"/>
      <c r="G40" s="996"/>
      <c r="H40" s="2880"/>
      <c r="I40" s="2881"/>
      <c r="J40" s="996"/>
      <c r="K40" s="996"/>
      <c r="L40" s="996"/>
      <c r="M40" s="996"/>
      <c r="N40" s="996"/>
      <c r="O40" s="996"/>
      <c r="P40" s="996"/>
      <c r="Q40" s="996"/>
      <c r="R40" s="996"/>
      <c r="S40" s="996"/>
      <c r="T40" s="996"/>
    </row>
    <row r="41" spans="2:22" x14ac:dyDescent="0.2">
      <c r="B41" s="1018" t="s">
        <v>318</v>
      </c>
      <c r="C41" s="1019">
        <f>'Avg.Weighted Manufacturer Price'!F9</f>
        <v>80.561016949152545</v>
      </c>
      <c r="D41" s="996"/>
      <c r="E41" s="1012" t="s">
        <v>319</v>
      </c>
      <c r="F41" s="1013" t="e">
        <f ca="1">C42*'General Assumptions'!C$21</f>
        <v>#NAME?</v>
      </c>
      <c r="G41" s="996"/>
      <c r="H41" s="1020" t="s">
        <v>320</v>
      </c>
      <c r="I41" s="1021" t="e">
        <f ca="1">C38*'General Assumptions'!C20/6</f>
        <v>#NAME?</v>
      </c>
      <c r="J41" s="996"/>
      <c r="K41" s="996"/>
      <c r="L41" s="996"/>
      <c r="M41" s="996"/>
      <c r="N41" s="996"/>
      <c r="O41" s="996"/>
      <c r="P41" s="996"/>
      <c r="Q41" s="996"/>
      <c r="R41" s="996"/>
      <c r="S41" s="996"/>
      <c r="T41" s="996"/>
    </row>
    <row r="42" spans="2:22" x14ac:dyDescent="0.2">
      <c r="B42" s="1006" t="s">
        <v>321</v>
      </c>
      <c r="C42" s="1007" t="e">
        <f ca="1">ROUNDUP(C39/'General Assumptions'!$C$19,0)</f>
        <v>#NAME?</v>
      </c>
      <c r="D42" s="996"/>
      <c r="E42" s="1016"/>
      <c r="F42" s="1016"/>
      <c r="G42" s="996"/>
      <c r="H42" s="997" t="s">
        <v>322</v>
      </c>
      <c r="I42" s="1022" t="e">
        <f ca="1">C41-C38</f>
        <v>#NAME?</v>
      </c>
      <c r="J42" s="996"/>
      <c r="K42" s="996"/>
      <c r="L42" s="996"/>
      <c r="M42" s="996"/>
      <c r="N42" s="996"/>
      <c r="O42" s="996"/>
      <c r="P42" s="996"/>
      <c r="Q42" s="996"/>
      <c r="R42" s="996"/>
      <c r="S42" s="996"/>
      <c r="T42" s="996"/>
    </row>
    <row r="43" spans="2:22" x14ac:dyDescent="0.2">
      <c r="B43" s="1012" t="s">
        <v>323</v>
      </c>
      <c r="C43" s="1023" t="e">
        <f ca="1">C40/SQRT('General Assumptions'!$C$19)</f>
        <v>#NAME?</v>
      </c>
      <c r="D43" s="996"/>
      <c r="E43" s="1016"/>
      <c r="F43" s="1016"/>
      <c r="G43" s="996"/>
      <c r="H43" s="997" t="s">
        <v>316</v>
      </c>
      <c r="I43" s="1024" t="e">
        <f ca="1">I42/(I42+I41)</f>
        <v>#NAME?</v>
      </c>
      <c r="J43" s="996"/>
      <c r="K43" s="996"/>
      <c r="L43" s="996"/>
      <c r="M43" s="996"/>
      <c r="N43" s="996"/>
      <c r="O43" s="996"/>
      <c r="P43" s="996"/>
      <c r="Q43" s="996"/>
      <c r="R43" s="996"/>
      <c r="S43" s="996"/>
      <c r="T43" s="996"/>
    </row>
    <row r="44" spans="2:22" x14ac:dyDescent="0.2">
      <c r="B44" s="1016"/>
      <c r="C44" s="1016"/>
      <c r="D44" s="996"/>
      <c r="E44" s="1016"/>
      <c r="F44" s="1016"/>
      <c r="G44" s="996"/>
      <c r="H44" s="1025" t="s">
        <v>324</v>
      </c>
      <c r="I44" s="1026" t="e">
        <f ca="1">NORMSINV(I43)</f>
        <v>#NAME?</v>
      </c>
      <c r="J44" s="996"/>
      <c r="K44" s="996"/>
      <c r="L44" s="996"/>
      <c r="M44" s="996"/>
      <c r="N44" s="996"/>
      <c r="O44" s="996"/>
      <c r="P44" s="996"/>
      <c r="Q44" s="996"/>
      <c r="R44" s="996"/>
      <c r="S44" s="996"/>
      <c r="T44" s="996"/>
    </row>
    <row r="45" spans="2:22" x14ac:dyDescent="0.2">
      <c r="B45" s="996"/>
      <c r="C45" s="1027"/>
      <c r="D45" s="1027"/>
      <c r="E45" s="1027"/>
      <c r="F45" s="1027"/>
      <c r="G45" s="1027"/>
      <c r="H45" s="1027"/>
      <c r="I45" s="1027"/>
      <c r="J45" s="1027"/>
      <c r="K45" s="1027"/>
      <c r="L45" s="1027"/>
      <c r="M45" s="1027"/>
      <c r="N45" s="1027"/>
      <c r="O45" s="1027"/>
      <c r="P45" s="1027"/>
      <c r="Q45" s="1027"/>
      <c r="R45" s="1027"/>
      <c r="S45" s="1027"/>
      <c r="T45" s="1027"/>
      <c r="U45" s="791"/>
      <c r="V45" s="791"/>
    </row>
    <row r="46" spans="2:22" x14ac:dyDescent="0.2">
      <c r="B46" s="2038" t="s">
        <v>295</v>
      </c>
      <c r="C46" s="1027"/>
      <c r="D46" s="1027"/>
      <c r="E46" s="1027"/>
      <c r="F46" s="1027"/>
      <c r="G46" s="1027"/>
      <c r="H46" s="1027"/>
      <c r="I46" s="1027"/>
      <c r="J46" s="1027"/>
      <c r="K46" s="1027"/>
      <c r="L46" s="1027"/>
      <c r="M46" s="1027"/>
      <c r="N46" s="1027"/>
      <c r="O46" s="1027"/>
      <c r="P46" s="1027"/>
      <c r="Q46" s="1027"/>
      <c r="R46" s="1027"/>
      <c r="S46" s="1027"/>
      <c r="T46" s="1027"/>
      <c r="U46" s="791"/>
      <c r="V46" s="791"/>
    </row>
    <row r="47" spans="2:22" ht="48" x14ac:dyDescent="0.2">
      <c r="B47" s="1078" t="s">
        <v>325</v>
      </c>
      <c r="C47" s="1077" t="s">
        <v>326</v>
      </c>
      <c r="D47" s="1075" t="s">
        <v>327</v>
      </c>
      <c r="E47" s="1075" t="s">
        <v>328</v>
      </c>
      <c r="F47" s="1075" t="s">
        <v>329</v>
      </c>
      <c r="G47" s="1075" t="s">
        <v>330</v>
      </c>
      <c r="H47" s="1075" t="s">
        <v>331</v>
      </c>
      <c r="I47" s="1075" t="s">
        <v>332</v>
      </c>
      <c r="J47" s="1075" t="s">
        <v>333</v>
      </c>
      <c r="K47" s="1075" t="s">
        <v>334</v>
      </c>
      <c r="L47" s="1075" t="s">
        <v>335</v>
      </c>
      <c r="M47" s="1075" t="s">
        <v>336</v>
      </c>
      <c r="N47" s="1075" t="s">
        <v>337</v>
      </c>
      <c r="O47" s="1075" t="s">
        <v>300</v>
      </c>
      <c r="P47" s="1075" t="s">
        <v>304</v>
      </c>
      <c r="Q47" s="1075" t="s">
        <v>338</v>
      </c>
      <c r="R47" s="1075" t="s">
        <v>339</v>
      </c>
      <c r="S47" s="1075" t="s">
        <v>340</v>
      </c>
      <c r="T47" s="1075" t="s">
        <v>341</v>
      </c>
      <c r="U47" s="1076" t="s">
        <v>342</v>
      </c>
      <c r="V47" s="1028"/>
    </row>
    <row r="48" spans="2:22" x14ac:dyDescent="0.2">
      <c r="B48" s="1035" t="s">
        <v>238</v>
      </c>
      <c r="C48" s="1029">
        <f>$H$13</f>
        <v>0.25</v>
      </c>
      <c r="D48" s="1030">
        <f>$L$13</f>
        <v>1</v>
      </c>
      <c r="E48" s="1029" t="e">
        <f ca="1">$M$13</f>
        <v>#NAME?</v>
      </c>
      <c r="F48" s="1031" t="e">
        <f ca="1">ROUNDUP(D48*$C$42,0)</f>
        <v>#NAME?</v>
      </c>
      <c r="G48" s="1027" t="e">
        <f ca="1">D48*$C$43</f>
        <v>#NAME?</v>
      </c>
      <c r="H48" s="1027">
        <f>'General Assumptions'!$C$23/'General Assumptions'!$C$22</f>
        <v>4.2857142857142856</v>
      </c>
      <c r="I48" s="1027">
        <f>0.8*H48</f>
        <v>3.4285714285714288</v>
      </c>
      <c r="J48" s="1027">
        <f>2*H48</f>
        <v>8.5714285714285712</v>
      </c>
      <c r="K48" s="1027">
        <f>(I48+4*H48+J48)/6</f>
        <v>4.8571428571428568</v>
      </c>
      <c r="L48" s="1027">
        <f>(J48-I48)/6</f>
        <v>0.8571428571428571</v>
      </c>
      <c r="M48" s="1027">
        <f>'General Assumptions'!$C$24/'General Assumptions'!$C$22</f>
        <v>0.5714285714285714</v>
      </c>
      <c r="N48" s="1032" t="e">
        <f ca="1">ROUNDUP(SQRT((2*F48*'General Assumptions'!$C$19*'General Assumptions'!$C$25)/(C48*'General Assumptions'!$C$20)),0)</f>
        <v>#NAME?</v>
      </c>
      <c r="O48" s="1033" t="e">
        <f ca="1">ROUNDUP(N48/2,0)</f>
        <v>#NAME?</v>
      </c>
      <c r="P48" s="1033" t="e">
        <f ca="1">ROUNDUP($I$44*SQRT((I48*G48^2)+(F48^2)*(L48^2)),0)</f>
        <v>#NAME?</v>
      </c>
      <c r="Q48" s="1032" t="e">
        <f ca="1">ROUNDUP(F48*M48,0)</f>
        <v>#NAME?</v>
      </c>
      <c r="R48" s="1033" t="e">
        <f ca="1">SUM(O48:Q48)</f>
        <v>#NAME?</v>
      </c>
      <c r="S48" s="1994" t="e">
        <f ca="1">R48*C48</f>
        <v>#NAME?</v>
      </c>
      <c r="T48" s="1995" t="e">
        <f ca="1">ROUNDUP(SQRT((2*('General Assumptions'!$C$19*F48)*'General Assumptions'!$C$25)/$L$35),0)</f>
        <v>#NAME?</v>
      </c>
      <c r="U48" s="1996" t="e">
        <f ca="1">ROUNDUP((F48*'General Assumptions'!$C$19)/T48,0)</f>
        <v>#NAME?</v>
      </c>
      <c r="V48" s="1028"/>
    </row>
    <row r="49" spans="1:23" x14ac:dyDescent="0.2">
      <c r="B49" s="1035" t="s">
        <v>243</v>
      </c>
      <c r="C49" s="1029">
        <f>$H$14</f>
        <v>8.0000000000000002E-3</v>
      </c>
      <c r="D49" s="1030">
        <f>$L$14</f>
        <v>1</v>
      </c>
      <c r="E49" s="1029" t="e">
        <f ca="1">$M$14</f>
        <v>#NAME?</v>
      </c>
      <c r="F49" s="1031" t="e">
        <f t="shared" ref="F49:F62" ca="1" si="3">ROUNDUP(D49*$C$42,0)</f>
        <v>#NAME?</v>
      </c>
      <c r="G49" s="1027" t="e">
        <f ca="1">D49*$C$43</f>
        <v>#NAME?</v>
      </c>
      <c r="H49" s="1027">
        <f>'General Assumptions'!$C$23/'General Assumptions'!$C$22</f>
        <v>4.2857142857142856</v>
      </c>
      <c r="I49" s="1027">
        <f>0.8*H49</f>
        <v>3.4285714285714288</v>
      </c>
      <c r="J49" s="1027">
        <f>2*H49</f>
        <v>8.5714285714285712</v>
      </c>
      <c r="K49" s="1027">
        <f>(I49+4*H49+J49)/6</f>
        <v>4.8571428571428568</v>
      </c>
      <c r="L49" s="1027">
        <f>(J49-I49)/6</f>
        <v>0.8571428571428571</v>
      </c>
      <c r="M49" s="1027">
        <f>'General Assumptions'!$C$24/'General Assumptions'!$C$22</f>
        <v>0.5714285714285714</v>
      </c>
      <c r="N49" s="1032" t="e">
        <f ca="1">ROUNDUP(SQRT((2*F49*'General Assumptions'!$C$19*'General Assumptions'!$C$25)/(C49*'General Assumptions'!$C$20)),0)</f>
        <v>#NAME?</v>
      </c>
      <c r="O49" s="1033" t="e">
        <f t="shared" ref="O49:O62" ca="1" si="4">ROUNDUP(N49/2,0)</f>
        <v>#NAME?</v>
      </c>
      <c r="P49" s="1033" t="e">
        <f t="shared" ref="P49:P62" ca="1" si="5">ROUNDUP($I$44*SQRT((I49*G49^2)+(F49^2)*(L49^2)),0)</f>
        <v>#NAME?</v>
      </c>
      <c r="Q49" s="1032" t="e">
        <f t="shared" ref="Q49:Q62" ca="1" si="6">ROUNDUP(F49*M49,0)</f>
        <v>#NAME?</v>
      </c>
      <c r="R49" s="1033" t="e">
        <f ca="1">SUM(O49:Q49)</f>
        <v>#NAME?</v>
      </c>
      <c r="S49" s="1994" t="e">
        <f t="shared" ref="S49:S62" ca="1" si="7">R49*C49</f>
        <v>#NAME?</v>
      </c>
      <c r="T49" s="1995" t="e">
        <f ca="1">ROUNDUP(SQRT((2*('General Assumptions'!$C$19*F49)*'General Assumptions'!$C$25)/$L$35),0)</f>
        <v>#NAME?</v>
      </c>
      <c r="U49" s="1996" t="e">
        <f ca="1">ROUNDUP((F49*'General Assumptions'!$C$19)/T49,0)</f>
        <v>#NAME?</v>
      </c>
      <c r="V49" s="1028"/>
    </row>
    <row r="50" spans="1:23" x14ac:dyDescent="0.2">
      <c r="B50" s="1036" t="s">
        <v>247</v>
      </c>
      <c r="C50" s="1029">
        <f>$H$15</f>
        <v>0.4</v>
      </c>
      <c r="D50" s="1030">
        <f>$L$15</f>
        <v>4</v>
      </c>
      <c r="E50" s="1029" t="e">
        <f ca="1">M$15</f>
        <v>#NAME?</v>
      </c>
      <c r="F50" s="1031" t="e">
        <f t="shared" ca="1" si="3"/>
        <v>#NAME?</v>
      </c>
      <c r="G50" s="1027" t="e">
        <f ca="1">D50*$C$43</f>
        <v>#NAME?</v>
      </c>
      <c r="H50" s="1027">
        <f>'General Assumptions'!$C$23/'General Assumptions'!$C$22</f>
        <v>4.2857142857142856</v>
      </c>
      <c r="I50" s="1027">
        <f>0.8*H50</f>
        <v>3.4285714285714288</v>
      </c>
      <c r="J50" s="1027">
        <f>2*H50</f>
        <v>8.5714285714285712</v>
      </c>
      <c r="K50" s="1027">
        <f>(I50+4*H50+J50)/6</f>
        <v>4.8571428571428568</v>
      </c>
      <c r="L50" s="1027">
        <f>(J50-I50)/6</f>
        <v>0.8571428571428571</v>
      </c>
      <c r="M50" s="1027">
        <f>'General Assumptions'!$C$24/'General Assumptions'!$C$22</f>
        <v>0.5714285714285714</v>
      </c>
      <c r="N50" s="1032" t="e">
        <f ca="1">ROUNDUP(SQRT((2*F50*'General Assumptions'!$C$19*'General Assumptions'!$C$25)/(C50*'General Assumptions'!$C$20)),0)</f>
        <v>#NAME?</v>
      </c>
      <c r="O50" s="1033" t="e">
        <f t="shared" ca="1" si="4"/>
        <v>#NAME?</v>
      </c>
      <c r="P50" s="1033" t="e">
        <f t="shared" ca="1" si="5"/>
        <v>#NAME?</v>
      </c>
      <c r="Q50" s="1032" t="e">
        <f t="shared" ca="1" si="6"/>
        <v>#NAME?</v>
      </c>
      <c r="R50" s="1033" t="e">
        <f ca="1">SUM(O50:Q50)</f>
        <v>#NAME?</v>
      </c>
      <c r="S50" s="1994" t="e">
        <f t="shared" ca="1" si="7"/>
        <v>#NAME?</v>
      </c>
      <c r="T50" s="1995" t="e">
        <f ca="1">ROUNDUP(SQRT((2*('General Assumptions'!$C$19*F50)*'General Assumptions'!$C$25)/$L$35),0)</f>
        <v>#NAME?</v>
      </c>
      <c r="U50" s="1996" t="e">
        <f ca="1">ROUNDUP((F50*'General Assumptions'!$C$19)/T50,0)</f>
        <v>#NAME?</v>
      </c>
      <c r="V50" s="791"/>
    </row>
    <row r="51" spans="1:23" x14ac:dyDescent="0.2">
      <c r="B51" s="1036" t="s">
        <v>343</v>
      </c>
      <c r="C51" s="1029">
        <f>$H$16</f>
        <v>6.75</v>
      </c>
      <c r="D51" s="1030">
        <f>$L$16</f>
        <v>0.57253801085568334</v>
      </c>
      <c r="E51" s="1029" t="e">
        <f ca="1">M$16</f>
        <v>#NAME?</v>
      </c>
      <c r="F51" s="1031" t="e">
        <f t="shared" ca="1" si="3"/>
        <v>#NAME?</v>
      </c>
      <c r="G51" s="1027" t="e">
        <f t="shared" ref="G51:G62" ca="1" si="8">D51*$C$43</f>
        <v>#NAME?</v>
      </c>
      <c r="H51" s="1027">
        <f>'General Assumptions'!$C$24/'General Assumptions'!$C$22</f>
        <v>0.5714285714285714</v>
      </c>
      <c r="I51" s="1027">
        <f t="shared" ref="I51:I62" si="9">0.8*H51</f>
        <v>0.45714285714285713</v>
      </c>
      <c r="J51" s="1027">
        <f t="shared" ref="J51:J62" si="10">2*H51</f>
        <v>1.1428571428571428</v>
      </c>
      <c r="K51" s="1027">
        <f t="shared" ref="K51:K62" si="11">(I51+4*H51+J51)/6</f>
        <v>0.64761904761904765</v>
      </c>
      <c r="L51" s="1027">
        <f t="shared" ref="L51:L62" si="12">(J51-I51)/6</f>
        <v>0.11428571428571428</v>
      </c>
      <c r="M51" s="1027">
        <f>'General Assumptions'!$C$24/'General Assumptions'!$C$22</f>
        <v>0.5714285714285714</v>
      </c>
      <c r="N51" s="1032" t="e">
        <f ca="1">ROUNDUP(SQRT((2*F51*'General Assumptions'!$C$19*'General Assumptions'!$C$25)/(C51*'General Assumptions'!$C$20)),0)</f>
        <v>#NAME?</v>
      </c>
      <c r="O51" s="1033" t="e">
        <f t="shared" ca="1" si="4"/>
        <v>#NAME?</v>
      </c>
      <c r="P51" s="1033" t="e">
        <f t="shared" ca="1" si="5"/>
        <v>#NAME?</v>
      </c>
      <c r="Q51" s="1032" t="e">
        <f t="shared" ca="1" si="6"/>
        <v>#NAME?</v>
      </c>
      <c r="R51" s="1033" t="e">
        <f t="shared" ref="R51:R62" ca="1" si="13">SUM(O51:Q51)</f>
        <v>#NAME?</v>
      </c>
      <c r="S51" s="1994" t="e">
        <f t="shared" ca="1" si="7"/>
        <v>#NAME?</v>
      </c>
      <c r="T51" s="1995" t="e">
        <f ca="1">ROUNDUP(SQRT((2*('General Assumptions'!$C$19*F51)*'General Assumptions'!$C$25)/$L$35),0)</f>
        <v>#NAME?</v>
      </c>
      <c r="U51" s="1996" t="e">
        <f ca="1">ROUNDUP((F51*'General Assumptions'!$C$19)/T51,0)</f>
        <v>#NAME?</v>
      </c>
      <c r="V51" s="791"/>
      <c r="W51" s="1037"/>
    </row>
    <row r="52" spans="1:23" x14ac:dyDescent="0.2">
      <c r="B52" s="1038" t="s">
        <v>255</v>
      </c>
      <c r="C52" s="1029">
        <f>$H$17</f>
        <v>4</v>
      </c>
      <c r="D52" s="1030">
        <f>$L$17</f>
        <v>1</v>
      </c>
      <c r="E52" s="1029" t="e">
        <f ca="1">M$17</f>
        <v>#NAME?</v>
      </c>
      <c r="F52" s="1031" t="e">
        <f t="shared" ca="1" si="3"/>
        <v>#NAME?</v>
      </c>
      <c r="G52" s="1027" t="e">
        <f t="shared" ca="1" si="8"/>
        <v>#NAME?</v>
      </c>
      <c r="H52" s="1027">
        <f>'General Assumptions'!$C$23/'General Assumptions'!$C$22</f>
        <v>4.2857142857142856</v>
      </c>
      <c r="I52" s="1027">
        <f t="shared" si="9"/>
        <v>3.4285714285714288</v>
      </c>
      <c r="J52" s="1027">
        <f t="shared" si="10"/>
        <v>8.5714285714285712</v>
      </c>
      <c r="K52" s="1027">
        <f t="shared" si="11"/>
        <v>4.8571428571428568</v>
      </c>
      <c r="L52" s="1027">
        <f t="shared" si="12"/>
        <v>0.8571428571428571</v>
      </c>
      <c r="M52" s="1027">
        <f>'General Assumptions'!$C$24/'General Assumptions'!$C$22</f>
        <v>0.5714285714285714</v>
      </c>
      <c r="N52" s="1032" t="e">
        <f ca="1">ROUNDUP(SQRT((2*F52*'General Assumptions'!$C$19*'General Assumptions'!$C$25)/(C52*'General Assumptions'!$C$20)),0)</f>
        <v>#NAME?</v>
      </c>
      <c r="O52" s="1033" t="e">
        <f t="shared" ca="1" si="4"/>
        <v>#NAME?</v>
      </c>
      <c r="P52" s="1033" t="e">
        <f t="shared" ca="1" si="5"/>
        <v>#NAME?</v>
      </c>
      <c r="Q52" s="1032" t="e">
        <f t="shared" ca="1" si="6"/>
        <v>#NAME?</v>
      </c>
      <c r="R52" s="1033" t="e">
        <f t="shared" ca="1" si="13"/>
        <v>#NAME?</v>
      </c>
      <c r="S52" s="1994" t="e">
        <f t="shared" ca="1" si="7"/>
        <v>#NAME?</v>
      </c>
      <c r="T52" s="1995" t="e">
        <f ca="1">ROUNDUP(SQRT((2*('General Assumptions'!$C$19*F52)*'General Assumptions'!$C$25)/$L$35),0)</f>
        <v>#NAME?</v>
      </c>
      <c r="U52" s="1996" t="e">
        <f ca="1">ROUNDUP((F52*'General Assumptions'!$C$19)/T52,0)</f>
        <v>#NAME?</v>
      </c>
      <c r="V52" s="791"/>
      <c r="W52" s="1037"/>
    </row>
    <row r="53" spans="1:23" x14ac:dyDescent="0.2">
      <c r="B53" s="1036" t="s">
        <v>258</v>
      </c>
      <c r="C53" s="1029">
        <f>$H$18</f>
        <v>4.5</v>
      </c>
      <c r="D53" s="1030">
        <f>$L$18</f>
        <v>1</v>
      </c>
      <c r="E53" s="1029" t="e">
        <f ca="1">M$18</f>
        <v>#NAME?</v>
      </c>
      <c r="F53" s="1031" t="e">
        <f t="shared" ca="1" si="3"/>
        <v>#NAME?</v>
      </c>
      <c r="G53" s="1027" t="e">
        <f t="shared" ca="1" si="8"/>
        <v>#NAME?</v>
      </c>
      <c r="H53" s="1027">
        <f>'General Assumptions'!$C$23/'General Assumptions'!$C$22</f>
        <v>4.2857142857142856</v>
      </c>
      <c r="I53" s="1027">
        <f t="shared" si="9"/>
        <v>3.4285714285714288</v>
      </c>
      <c r="J53" s="1027">
        <f t="shared" si="10"/>
        <v>8.5714285714285712</v>
      </c>
      <c r="K53" s="1027">
        <f t="shared" si="11"/>
        <v>4.8571428571428568</v>
      </c>
      <c r="L53" s="1027">
        <f t="shared" si="12"/>
        <v>0.8571428571428571</v>
      </c>
      <c r="M53" s="1027">
        <f>'General Assumptions'!$C$24/'General Assumptions'!$C$22</f>
        <v>0.5714285714285714</v>
      </c>
      <c r="N53" s="1032" t="e">
        <f ca="1">ROUNDUP(SQRT((2*F53*'General Assumptions'!$C$19*'General Assumptions'!$C$25)/(C53*'General Assumptions'!$C$20)),0)</f>
        <v>#NAME?</v>
      </c>
      <c r="O53" s="1033" t="e">
        <f t="shared" ca="1" si="4"/>
        <v>#NAME?</v>
      </c>
      <c r="P53" s="1033" t="e">
        <f t="shared" ca="1" si="5"/>
        <v>#NAME?</v>
      </c>
      <c r="Q53" s="1032" t="e">
        <f t="shared" ca="1" si="6"/>
        <v>#NAME?</v>
      </c>
      <c r="R53" s="1033" t="e">
        <f t="shared" ca="1" si="13"/>
        <v>#NAME?</v>
      </c>
      <c r="S53" s="1994" t="e">
        <f t="shared" ca="1" si="7"/>
        <v>#NAME?</v>
      </c>
      <c r="T53" s="1995" t="e">
        <f ca="1">ROUNDUP(SQRT((2*('General Assumptions'!$C$19*F53)*'General Assumptions'!$C$25)/$L$35),0)</f>
        <v>#NAME?</v>
      </c>
      <c r="U53" s="1996" t="e">
        <f ca="1">ROUNDUP((F53*'General Assumptions'!$C$19)/T53,0)</f>
        <v>#NAME?</v>
      </c>
      <c r="V53" s="791"/>
      <c r="W53" s="1037"/>
    </row>
    <row r="54" spans="1:23" x14ac:dyDescent="0.2">
      <c r="B54" s="1038" t="s">
        <v>262</v>
      </c>
      <c r="C54" s="1029">
        <f>$H$19</f>
        <v>5.8</v>
      </c>
      <c r="D54" s="1030">
        <f>$L$19</f>
        <v>2.5252525252525255E-3</v>
      </c>
      <c r="E54" s="1029" t="e">
        <f ca="1">M$19</f>
        <v>#NAME?</v>
      </c>
      <c r="F54" s="1031" t="e">
        <f t="shared" ca="1" si="3"/>
        <v>#NAME?</v>
      </c>
      <c r="G54" s="1027" t="e">
        <f t="shared" ca="1" si="8"/>
        <v>#NAME?</v>
      </c>
      <c r="H54" s="1027">
        <f>'General Assumptions'!$C$23/'General Assumptions'!$C$22</f>
        <v>4.2857142857142856</v>
      </c>
      <c r="I54" s="1027">
        <f t="shared" si="9"/>
        <v>3.4285714285714288</v>
      </c>
      <c r="J54" s="1027">
        <f t="shared" si="10"/>
        <v>8.5714285714285712</v>
      </c>
      <c r="K54" s="1027">
        <f t="shared" si="11"/>
        <v>4.8571428571428568</v>
      </c>
      <c r="L54" s="1027">
        <f t="shared" si="12"/>
        <v>0.8571428571428571</v>
      </c>
      <c r="M54" s="1027">
        <f>'General Assumptions'!$C$24/'General Assumptions'!$C$22</f>
        <v>0.5714285714285714</v>
      </c>
      <c r="N54" s="1032" t="e">
        <f ca="1">ROUNDUP(SQRT((2*F54*'General Assumptions'!$C$19*'General Assumptions'!$C$25)/(C54*'General Assumptions'!$C$20)),0)</f>
        <v>#NAME?</v>
      </c>
      <c r="O54" s="1033" t="e">
        <f t="shared" ca="1" si="4"/>
        <v>#NAME?</v>
      </c>
      <c r="P54" s="1033" t="e">
        <f t="shared" ca="1" si="5"/>
        <v>#NAME?</v>
      </c>
      <c r="Q54" s="1032" t="e">
        <f t="shared" ca="1" si="6"/>
        <v>#NAME?</v>
      </c>
      <c r="R54" s="1033" t="e">
        <f t="shared" ca="1" si="13"/>
        <v>#NAME?</v>
      </c>
      <c r="S54" s="1994" t="e">
        <f t="shared" ca="1" si="7"/>
        <v>#NAME?</v>
      </c>
      <c r="T54" s="1995" t="e">
        <f ca="1">ROUNDUP(SQRT((2*('General Assumptions'!$C$19*F54)*'General Assumptions'!$C$25)/$L$35),0)</f>
        <v>#NAME?</v>
      </c>
      <c r="U54" s="1996" t="e">
        <f ca="1">ROUNDUP((F54*'General Assumptions'!$C$19)/T54,0)</f>
        <v>#NAME?</v>
      </c>
      <c r="V54" s="791"/>
      <c r="W54" s="1037"/>
    </row>
    <row r="55" spans="1:23" x14ac:dyDescent="0.2">
      <c r="B55" s="1036" t="s">
        <v>344</v>
      </c>
      <c r="C55" s="1029">
        <f>$H$20</f>
        <v>2.8</v>
      </c>
      <c r="D55" s="1030">
        <f>$L$20</f>
        <v>0.34017112903225799</v>
      </c>
      <c r="E55" s="1029" t="e">
        <f ca="1">M$20</f>
        <v>#NAME?</v>
      </c>
      <c r="F55" s="1031" t="e">
        <f t="shared" ca="1" si="3"/>
        <v>#NAME?</v>
      </c>
      <c r="G55" s="1027" t="e">
        <f t="shared" ca="1" si="8"/>
        <v>#NAME?</v>
      </c>
      <c r="H55" s="1027">
        <f>'General Assumptions'!$C$23/'General Assumptions'!$C$22</f>
        <v>4.2857142857142856</v>
      </c>
      <c r="I55" s="1027">
        <f t="shared" si="9"/>
        <v>3.4285714285714288</v>
      </c>
      <c r="J55" s="1027">
        <f t="shared" si="10"/>
        <v>8.5714285714285712</v>
      </c>
      <c r="K55" s="1027">
        <f t="shared" si="11"/>
        <v>4.8571428571428568</v>
      </c>
      <c r="L55" s="1027">
        <f t="shared" si="12"/>
        <v>0.8571428571428571</v>
      </c>
      <c r="M55" s="1027">
        <f>'General Assumptions'!$C$24/'General Assumptions'!$C$22</f>
        <v>0.5714285714285714</v>
      </c>
      <c r="N55" s="1032" t="e">
        <f ca="1">ROUNDUP(SQRT((2*F55*'General Assumptions'!$C$19*'General Assumptions'!$C$25)/(C55*'General Assumptions'!$C$20)),0)</f>
        <v>#NAME?</v>
      </c>
      <c r="O55" s="1033" t="e">
        <f t="shared" ca="1" si="4"/>
        <v>#NAME?</v>
      </c>
      <c r="P55" s="1033" t="e">
        <f t="shared" ca="1" si="5"/>
        <v>#NAME?</v>
      </c>
      <c r="Q55" s="1032" t="e">
        <f t="shared" ca="1" si="6"/>
        <v>#NAME?</v>
      </c>
      <c r="R55" s="1033" t="e">
        <f t="shared" ca="1" si="13"/>
        <v>#NAME?</v>
      </c>
      <c r="S55" s="1994" t="e">
        <f t="shared" ca="1" si="7"/>
        <v>#NAME?</v>
      </c>
      <c r="T55" s="1995" t="e">
        <f ca="1">ROUNDUP(SQRT((2*('General Assumptions'!$C$19*F55)*'General Assumptions'!$C$25)/$L$35),0)</f>
        <v>#NAME?</v>
      </c>
      <c r="U55" s="1996" t="e">
        <f ca="1">ROUNDUP((F55*'General Assumptions'!$C$19)/T55,0)</f>
        <v>#NAME?</v>
      </c>
      <c r="V55" s="791"/>
      <c r="W55" s="1037"/>
    </row>
    <row r="56" spans="1:23" x14ac:dyDescent="0.2">
      <c r="B56" s="1036" t="s">
        <v>268</v>
      </c>
      <c r="C56" s="1029">
        <f>$H$21</f>
        <v>5</v>
      </c>
      <c r="D56" s="1030">
        <f>$L$21</f>
        <v>1.4693010726845441</v>
      </c>
      <c r="E56" s="1029" t="e">
        <f ca="1">M$21</f>
        <v>#NAME?</v>
      </c>
      <c r="F56" s="1031" t="e">
        <f t="shared" ca="1" si="3"/>
        <v>#NAME?</v>
      </c>
      <c r="G56" s="1027" t="e">
        <f t="shared" ca="1" si="8"/>
        <v>#NAME?</v>
      </c>
      <c r="H56" s="1027">
        <f>'General Assumptions'!$C$23/'General Assumptions'!$C$22</f>
        <v>4.2857142857142856</v>
      </c>
      <c r="I56" s="1027">
        <f t="shared" si="9"/>
        <v>3.4285714285714288</v>
      </c>
      <c r="J56" s="1027">
        <f t="shared" si="10"/>
        <v>8.5714285714285712</v>
      </c>
      <c r="K56" s="1027">
        <f t="shared" si="11"/>
        <v>4.8571428571428568</v>
      </c>
      <c r="L56" s="1027">
        <f t="shared" si="12"/>
        <v>0.8571428571428571</v>
      </c>
      <c r="M56" s="1027">
        <f>'General Assumptions'!$C$24/'General Assumptions'!$C$22</f>
        <v>0.5714285714285714</v>
      </c>
      <c r="N56" s="1032" t="e">
        <f ca="1">ROUNDUP(SQRT((2*F56*'General Assumptions'!$C$19*'General Assumptions'!$C$25)/(C56*'General Assumptions'!$C$20)),0)</f>
        <v>#NAME?</v>
      </c>
      <c r="O56" s="1033" t="e">
        <f t="shared" ca="1" si="4"/>
        <v>#NAME?</v>
      </c>
      <c r="P56" s="1033" t="e">
        <f t="shared" ca="1" si="5"/>
        <v>#NAME?</v>
      </c>
      <c r="Q56" s="1032" t="e">
        <f t="shared" ca="1" si="6"/>
        <v>#NAME?</v>
      </c>
      <c r="R56" s="1033" t="e">
        <f t="shared" ca="1" si="13"/>
        <v>#NAME?</v>
      </c>
      <c r="S56" s="1994" t="e">
        <f t="shared" ca="1" si="7"/>
        <v>#NAME?</v>
      </c>
      <c r="T56" s="1995" t="e">
        <f ca="1">ROUNDUP(SQRT((2*('General Assumptions'!$C$19*F56)*'General Assumptions'!$C$25)/$L$35),0)</f>
        <v>#NAME?</v>
      </c>
      <c r="U56" s="1996" t="e">
        <f ca="1">ROUNDUP((F56*'General Assumptions'!$C$19)/T56,0)</f>
        <v>#NAME?</v>
      </c>
      <c r="V56" s="791"/>
      <c r="W56" s="1037"/>
    </row>
    <row r="57" spans="1:23" x14ac:dyDescent="0.2">
      <c r="B57" s="1036" t="s">
        <v>272</v>
      </c>
      <c r="C57" s="1029">
        <f>$H$22</f>
        <v>0.25</v>
      </c>
      <c r="D57" s="1030">
        <f>$L$22</f>
        <v>2</v>
      </c>
      <c r="E57" s="1029" t="e">
        <f ca="1">M$22</f>
        <v>#NAME?</v>
      </c>
      <c r="F57" s="1031" t="e">
        <f t="shared" ca="1" si="3"/>
        <v>#NAME?</v>
      </c>
      <c r="G57" s="1027" t="e">
        <f t="shared" ca="1" si="8"/>
        <v>#NAME?</v>
      </c>
      <c r="H57" s="1027">
        <f>'General Assumptions'!$C$23/'General Assumptions'!$C$22</f>
        <v>4.2857142857142856</v>
      </c>
      <c r="I57" s="1027">
        <f t="shared" si="9"/>
        <v>3.4285714285714288</v>
      </c>
      <c r="J57" s="1027">
        <f t="shared" si="10"/>
        <v>8.5714285714285712</v>
      </c>
      <c r="K57" s="1027">
        <f t="shared" si="11"/>
        <v>4.8571428571428568</v>
      </c>
      <c r="L57" s="1027">
        <f t="shared" si="12"/>
        <v>0.8571428571428571</v>
      </c>
      <c r="M57" s="1027">
        <f>'General Assumptions'!$C$24/'General Assumptions'!$C$22</f>
        <v>0.5714285714285714</v>
      </c>
      <c r="N57" s="1032" t="e">
        <f ca="1">ROUNDUP(SQRT((2*F57*'General Assumptions'!$C$19*'General Assumptions'!$C$25)/(C57*'General Assumptions'!$C$20)),0)</f>
        <v>#NAME?</v>
      </c>
      <c r="O57" s="1033" t="e">
        <f t="shared" ca="1" si="4"/>
        <v>#NAME?</v>
      </c>
      <c r="P57" s="1033" t="e">
        <f t="shared" ca="1" si="5"/>
        <v>#NAME?</v>
      </c>
      <c r="Q57" s="1032" t="e">
        <f t="shared" ca="1" si="6"/>
        <v>#NAME?</v>
      </c>
      <c r="R57" s="1033" t="e">
        <f t="shared" ca="1" si="13"/>
        <v>#NAME?</v>
      </c>
      <c r="S57" s="1994" t="e">
        <f t="shared" ca="1" si="7"/>
        <v>#NAME?</v>
      </c>
      <c r="T57" s="1995" t="e">
        <f ca="1">ROUNDUP(SQRT((2*('General Assumptions'!$C$19*F57)*'General Assumptions'!$C$25)/$L$35),0)</f>
        <v>#NAME?</v>
      </c>
      <c r="U57" s="1996" t="e">
        <f ca="1">ROUNDUP((F57*'General Assumptions'!$C$19)/T57,0)</f>
        <v>#NAME?</v>
      </c>
      <c r="V57" s="791"/>
      <c r="W57" s="1037"/>
    </row>
    <row r="58" spans="1:23" x14ac:dyDescent="0.2">
      <c r="B58" s="1036" t="s">
        <v>276</v>
      </c>
      <c r="C58" s="1029">
        <f>$H$23</f>
        <v>0.05</v>
      </c>
      <c r="D58" s="1030">
        <f>$L$23</f>
        <v>0.91439950622426658</v>
      </c>
      <c r="E58" s="1029" t="e">
        <f ca="1">M$23</f>
        <v>#NAME?</v>
      </c>
      <c r="F58" s="1031" t="e">
        <f t="shared" ca="1" si="3"/>
        <v>#NAME?</v>
      </c>
      <c r="G58" s="1027" t="e">
        <f t="shared" ca="1" si="8"/>
        <v>#NAME?</v>
      </c>
      <c r="H58" s="1027">
        <f>'General Assumptions'!$C$23/'General Assumptions'!$C$22</f>
        <v>4.2857142857142856</v>
      </c>
      <c r="I58" s="1027">
        <f t="shared" si="9"/>
        <v>3.4285714285714288</v>
      </c>
      <c r="J58" s="1027">
        <f t="shared" si="10"/>
        <v>8.5714285714285712</v>
      </c>
      <c r="K58" s="1027">
        <f t="shared" si="11"/>
        <v>4.8571428571428568</v>
      </c>
      <c r="L58" s="1027">
        <f t="shared" si="12"/>
        <v>0.8571428571428571</v>
      </c>
      <c r="M58" s="1027">
        <f>'General Assumptions'!$C$24/'General Assumptions'!$C$22</f>
        <v>0.5714285714285714</v>
      </c>
      <c r="N58" s="1032" t="e">
        <f ca="1">ROUNDUP(SQRT((2*F58*'General Assumptions'!$C$19*'General Assumptions'!$C$25)/(C58*'General Assumptions'!$C$20)),0)</f>
        <v>#NAME?</v>
      </c>
      <c r="O58" s="1033" t="e">
        <f t="shared" ca="1" si="4"/>
        <v>#NAME?</v>
      </c>
      <c r="P58" s="1033" t="e">
        <f t="shared" ca="1" si="5"/>
        <v>#NAME?</v>
      </c>
      <c r="Q58" s="1032" t="e">
        <f t="shared" ca="1" si="6"/>
        <v>#NAME?</v>
      </c>
      <c r="R58" s="1033" t="e">
        <f t="shared" ca="1" si="13"/>
        <v>#NAME?</v>
      </c>
      <c r="S58" s="1994" t="e">
        <f t="shared" ca="1" si="7"/>
        <v>#NAME?</v>
      </c>
      <c r="T58" s="1995" t="e">
        <f ca="1">ROUNDUP(SQRT((2*('General Assumptions'!$C$19*F58)*'General Assumptions'!$C$25)/$L$35),0)</f>
        <v>#NAME?</v>
      </c>
      <c r="U58" s="1996" t="e">
        <f ca="1">ROUNDUP((F58*'General Assumptions'!$C$19)/T58,0)</f>
        <v>#NAME?</v>
      </c>
      <c r="V58" s="791"/>
      <c r="W58" s="1037"/>
    </row>
    <row r="59" spans="1:23" x14ac:dyDescent="0.2">
      <c r="B59" s="1036" t="s">
        <v>279</v>
      </c>
      <c r="C59" s="1029">
        <f>$H$24</f>
        <v>1.8</v>
      </c>
      <c r="D59" s="1030">
        <f>$L$24</f>
        <v>0.69975730167128702</v>
      </c>
      <c r="E59" s="1029" t="e">
        <f ca="1">M$24</f>
        <v>#NAME?</v>
      </c>
      <c r="F59" s="1031" t="e">
        <f t="shared" ca="1" si="3"/>
        <v>#NAME?</v>
      </c>
      <c r="G59" s="1027" t="e">
        <f t="shared" ca="1" si="8"/>
        <v>#NAME?</v>
      </c>
      <c r="H59" s="1027">
        <f>'General Assumptions'!$C$23/'General Assumptions'!$C$22</f>
        <v>4.2857142857142856</v>
      </c>
      <c r="I59" s="1027">
        <f t="shared" si="9"/>
        <v>3.4285714285714288</v>
      </c>
      <c r="J59" s="1027">
        <f t="shared" si="10"/>
        <v>8.5714285714285712</v>
      </c>
      <c r="K59" s="1027">
        <f t="shared" si="11"/>
        <v>4.8571428571428568</v>
      </c>
      <c r="L59" s="1027">
        <f t="shared" si="12"/>
        <v>0.8571428571428571</v>
      </c>
      <c r="M59" s="1027">
        <f>'General Assumptions'!$C$24/'General Assumptions'!$C$22</f>
        <v>0.5714285714285714</v>
      </c>
      <c r="N59" s="1032" t="e">
        <f ca="1">ROUNDUP(SQRT((2*F59*'General Assumptions'!$C$19*'General Assumptions'!$C$25)/(C59*'General Assumptions'!$C$20)),0)</f>
        <v>#NAME?</v>
      </c>
      <c r="O59" s="1033" t="e">
        <f t="shared" ca="1" si="4"/>
        <v>#NAME?</v>
      </c>
      <c r="P59" s="1033" t="e">
        <f t="shared" ca="1" si="5"/>
        <v>#NAME?</v>
      </c>
      <c r="Q59" s="1032" t="e">
        <f t="shared" ca="1" si="6"/>
        <v>#NAME?</v>
      </c>
      <c r="R59" s="1033" t="e">
        <f t="shared" ca="1" si="13"/>
        <v>#NAME?</v>
      </c>
      <c r="S59" s="1994" t="e">
        <f t="shared" ca="1" si="7"/>
        <v>#NAME?</v>
      </c>
      <c r="T59" s="1995" t="e">
        <f ca="1">ROUNDUP(SQRT((2*('General Assumptions'!$C$19*F59)*'General Assumptions'!$C$25)/$L$35),0)</f>
        <v>#NAME?</v>
      </c>
      <c r="U59" s="1996" t="e">
        <f ca="1">ROUNDUP((F59*'General Assumptions'!$C$19)/T59,0)</f>
        <v>#NAME?</v>
      </c>
      <c r="V59" s="791"/>
      <c r="W59" s="1037"/>
    </row>
    <row r="60" spans="1:23" x14ac:dyDescent="0.2">
      <c r="B60" s="1036" t="s">
        <v>282</v>
      </c>
      <c r="C60" s="1029">
        <f>$H$25</f>
        <v>3</v>
      </c>
      <c r="D60" s="1030">
        <f>$L$25</f>
        <v>9.8254910065803294E-2</v>
      </c>
      <c r="E60" s="1029" t="e">
        <f ca="1">M$25</f>
        <v>#NAME?</v>
      </c>
      <c r="F60" s="1031" t="e">
        <f t="shared" ca="1" si="3"/>
        <v>#NAME?</v>
      </c>
      <c r="G60" s="1027" t="e">
        <f t="shared" ca="1" si="8"/>
        <v>#NAME?</v>
      </c>
      <c r="H60" s="1027">
        <f>'General Assumptions'!$C$23/'General Assumptions'!$C$22</f>
        <v>4.2857142857142856</v>
      </c>
      <c r="I60" s="1027">
        <f t="shared" si="9"/>
        <v>3.4285714285714288</v>
      </c>
      <c r="J60" s="1027">
        <f t="shared" si="10"/>
        <v>8.5714285714285712</v>
      </c>
      <c r="K60" s="1027">
        <f t="shared" si="11"/>
        <v>4.8571428571428568</v>
      </c>
      <c r="L60" s="1027">
        <f t="shared" si="12"/>
        <v>0.8571428571428571</v>
      </c>
      <c r="M60" s="1027">
        <f>'General Assumptions'!$C$24/'General Assumptions'!$C$22</f>
        <v>0.5714285714285714</v>
      </c>
      <c r="N60" s="1032" t="e">
        <f ca="1">ROUNDUP(SQRT((2*F60*'General Assumptions'!$C$19*'General Assumptions'!$C$25)/(C60*'General Assumptions'!$C$20)),0)</f>
        <v>#NAME?</v>
      </c>
      <c r="O60" s="1033" t="e">
        <f t="shared" ca="1" si="4"/>
        <v>#NAME?</v>
      </c>
      <c r="P60" s="1033" t="e">
        <f t="shared" ca="1" si="5"/>
        <v>#NAME?</v>
      </c>
      <c r="Q60" s="1032" t="e">
        <f t="shared" ca="1" si="6"/>
        <v>#NAME?</v>
      </c>
      <c r="R60" s="1033" t="e">
        <f t="shared" ca="1" si="13"/>
        <v>#NAME?</v>
      </c>
      <c r="S60" s="1994" t="e">
        <f t="shared" ca="1" si="7"/>
        <v>#NAME?</v>
      </c>
      <c r="T60" s="1995" t="e">
        <f ca="1">ROUNDUP(SQRT((2*('General Assumptions'!$C$19*F60)*'General Assumptions'!$C$25)/$L$35),0)</f>
        <v>#NAME?</v>
      </c>
      <c r="U60" s="1996" t="e">
        <f ca="1">ROUNDUP((F60*'General Assumptions'!$C$19)/T60,0)</f>
        <v>#NAME?</v>
      </c>
      <c r="V60" s="791"/>
      <c r="W60" s="1037"/>
    </row>
    <row r="61" spans="1:23" x14ac:dyDescent="0.2">
      <c r="B61" s="1036" t="s">
        <v>286</v>
      </c>
      <c r="C61" s="1029">
        <f>$H$26</f>
        <v>0.1</v>
      </c>
      <c r="D61" s="1030">
        <f>$L$26</f>
        <v>4.6651138808385042</v>
      </c>
      <c r="E61" s="1029" t="e">
        <f ca="1">M$26</f>
        <v>#NAME?</v>
      </c>
      <c r="F61" s="1031" t="e">
        <f t="shared" ca="1" si="3"/>
        <v>#NAME?</v>
      </c>
      <c r="G61" s="1027" t="e">
        <f t="shared" ca="1" si="8"/>
        <v>#NAME?</v>
      </c>
      <c r="H61" s="1027">
        <f>'General Assumptions'!$C$23/'General Assumptions'!$C$22</f>
        <v>4.2857142857142856</v>
      </c>
      <c r="I61" s="1027">
        <f t="shared" si="9"/>
        <v>3.4285714285714288</v>
      </c>
      <c r="J61" s="1027">
        <f t="shared" si="10"/>
        <v>8.5714285714285712</v>
      </c>
      <c r="K61" s="1027">
        <f t="shared" si="11"/>
        <v>4.8571428571428568</v>
      </c>
      <c r="L61" s="1027">
        <f t="shared" si="12"/>
        <v>0.8571428571428571</v>
      </c>
      <c r="M61" s="1027">
        <f>'General Assumptions'!$C$24/'General Assumptions'!$C$22</f>
        <v>0.5714285714285714</v>
      </c>
      <c r="N61" s="1032" t="e">
        <f ca="1">ROUNDUP(SQRT((2*F61*'General Assumptions'!$C$19*'General Assumptions'!$C$25)/(C61*'General Assumptions'!$C$20)),0)</f>
        <v>#NAME?</v>
      </c>
      <c r="O61" s="1033" t="e">
        <f t="shared" ca="1" si="4"/>
        <v>#NAME?</v>
      </c>
      <c r="P61" s="1033" t="e">
        <f t="shared" ca="1" si="5"/>
        <v>#NAME?</v>
      </c>
      <c r="Q61" s="1032" t="e">
        <f t="shared" ca="1" si="6"/>
        <v>#NAME?</v>
      </c>
      <c r="R61" s="1033" t="e">
        <f t="shared" ca="1" si="13"/>
        <v>#NAME?</v>
      </c>
      <c r="S61" s="1994" t="e">
        <f t="shared" ca="1" si="7"/>
        <v>#NAME?</v>
      </c>
      <c r="T61" s="1995" t="e">
        <f ca="1">ROUNDUP(SQRT((2*('General Assumptions'!$C$19*F61)*'General Assumptions'!$C$25)/$L$35),0)</f>
        <v>#NAME?</v>
      </c>
      <c r="U61" s="1996" t="e">
        <f ca="1">ROUNDUP((F61*'General Assumptions'!$C$19)/T61,0)</f>
        <v>#NAME?</v>
      </c>
      <c r="V61" s="791"/>
      <c r="W61" s="1037"/>
    </row>
    <row r="62" spans="1:23" x14ac:dyDescent="0.2">
      <c r="B62" s="1039" t="s">
        <v>290</v>
      </c>
      <c r="C62" s="1040">
        <f>$H$27</f>
        <v>0.12</v>
      </c>
      <c r="D62" s="1041">
        <f>$L$27</f>
        <v>0.33337481997759721</v>
      </c>
      <c r="E62" s="1040" t="e">
        <f ca="1">M$27</f>
        <v>#NAME?</v>
      </c>
      <c r="F62" s="1042" t="e">
        <f t="shared" ca="1" si="3"/>
        <v>#NAME?</v>
      </c>
      <c r="G62" s="1043" t="e">
        <f t="shared" ca="1" si="8"/>
        <v>#NAME?</v>
      </c>
      <c r="H62" s="1043">
        <f>'General Assumptions'!$C$23/'General Assumptions'!$C$22</f>
        <v>4.2857142857142856</v>
      </c>
      <c r="I62" s="1043">
        <f t="shared" si="9"/>
        <v>3.4285714285714288</v>
      </c>
      <c r="J62" s="1043">
        <f t="shared" si="10"/>
        <v>8.5714285714285712</v>
      </c>
      <c r="K62" s="1043">
        <f t="shared" si="11"/>
        <v>4.8571428571428568</v>
      </c>
      <c r="L62" s="1043">
        <f t="shared" si="12"/>
        <v>0.8571428571428571</v>
      </c>
      <c r="M62" s="1043">
        <f>'General Assumptions'!$C$24/'General Assumptions'!$C$22</f>
        <v>0.5714285714285714</v>
      </c>
      <c r="N62" s="1044" t="e">
        <f ca="1">ROUNDUP(SQRT((2*F62*'General Assumptions'!$C$19*'General Assumptions'!$C$25)/(C62*'General Assumptions'!$C$20)),0)</f>
        <v>#NAME?</v>
      </c>
      <c r="O62" s="1045" t="e">
        <f t="shared" ca="1" si="4"/>
        <v>#NAME?</v>
      </c>
      <c r="P62" s="1045" t="e">
        <f t="shared" ca="1" si="5"/>
        <v>#NAME?</v>
      </c>
      <c r="Q62" s="1044" t="e">
        <f t="shared" ca="1" si="6"/>
        <v>#NAME?</v>
      </c>
      <c r="R62" s="1045" t="e">
        <f t="shared" ca="1" si="13"/>
        <v>#NAME?</v>
      </c>
      <c r="S62" s="1997" t="e">
        <f t="shared" ca="1" si="7"/>
        <v>#NAME?</v>
      </c>
      <c r="T62" s="1998" t="e">
        <f ca="1">ROUNDUP(SQRT((2*('General Assumptions'!$C$19*F62)*'General Assumptions'!$C$25)/$L$35),0)</f>
        <v>#NAME?</v>
      </c>
      <c r="U62" s="1999" t="e">
        <f ca="1">ROUNDUP((F62*'General Assumptions'!$C$19)/T62,0)</f>
        <v>#NAME?</v>
      </c>
      <c r="V62" s="791"/>
      <c r="W62" s="1037"/>
    </row>
    <row r="63" spans="1:23" x14ac:dyDescent="0.2">
      <c r="B63" s="1047"/>
      <c r="C63" s="1048"/>
      <c r="D63" s="1049"/>
      <c r="E63" s="1049"/>
      <c r="F63" s="996"/>
      <c r="G63" s="996"/>
      <c r="H63" s="1050"/>
      <c r="I63" s="996"/>
      <c r="J63" s="996"/>
      <c r="K63" s="996"/>
      <c r="L63" s="996"/>
      <c r="M63" s="996"/>
      <c r="N63" s="996"/>
      <c r="O63" s="996"/>
      <c r="P63" s="996"/>
      <c r="Q63" s="996"/>
      <c r="R63" s="996"/>
      <c r="S63" s="996"/>
      <c r="T63" s="996"/>
    </row>
    <row r="64" spans="1:23" s="1005" customFormat="1" ht="1.25" customHeight="1" x14ac:dyDescent="0.2">
      <c r="A64" s="1002"/>
      <c r="B64" s="1051"/>
      <c r="C64" s="1052"/>
      <c r="D64" s="1052"/>
      <c r="E64" s="1052"/>
      <c r="F64" s="1004"/>
      <c r="G64" s="1004"/>
      <c r="H64" s="1053"/>
      <c r="I64" s="1004"/>
      <c r="J64" s="1004"/>
      <c r="K64" s="1004"/>
      <c r="L64" s="1004"/>
      <c r="M64" s="1004"/>
      <c r="N64" s="1004"/>
      <c r="O64" s="1004"/>
      <c r="P64" s="1004"/>
      <c r="Q64" s="1004"/>
      <c r="R64" s="1004"/>
      <c r="S64" s="1004"/>
      <c r="T64" s="1004"/>
    </row>
    <row r="65" spans="2:21" x14ac:dyDescent="0.2">
      <c r="B65" s="1047"/>
      <c r="C65" s="1048"/>
      <c r="D65" s="1049"/>
      <c r="E65" s="1049"/>
      <c r="F65" s="996"/>
      <c r="G65" s="996"/>
      <c r="H65" s="1050"/>
      <c r="I65" s="996"/>
      <c r="J65" s="996"/>
      <c r="K65" s="996"/>
      <c r="L65" s="996"/>
      <c r="M65" s="996"/>
      <c r="N65" s="996"/>
      <c r="O65" s="996"/>
      <c r="P65" s="996"/>
      <c r="Q65" s="996"/>
      <c r="R65" s="996"/>
      <c r="S65" s="996"/>
      <c r="T65" s="996"/>
    </row>
    <row r="66" spans="2:21" x14ac:dyDescent="0.2">
      <c r="B66" s="2870" t="s">
        <v>345</v>
      </c>
      <c r="C66" s="2871"/>
      <c r="D66" s="996"/>
      <c r="E66" s="2874" t="s">
        <v>296</v>
      </c>
      <c r="F66" s="2875"/>
      <c r="G66" s="996"/>
      <c r="H66" s="2874" t="s">
        <v>297</v>
      </c>
      <c r="I66" s="2875"/>
      <c r="J66" s="996"/>
      <c r="K66" s="2878" t="s">
        <v>298</v>
      </c>
      <c r="L66" s="2879"/>
      <c r="M66" s="996"/>
      <c r="N66" s="996"/>
      <c r="O66" s="996"/>
      <c r="P66" s="996"/>
      <c r="Q66" s="996"/>
      <c r="R66" s="996"/>
      <c r="S66" s="996"/>
      <c r="T66" s="996"/>
    </row>
    <row r="67" spans="2:21" x14ac:dyDescent="0.2">
      <c r="B67" s="2872"/>
      <c r="C67" s="2873"/>
      <c r="D67" s="996"/>
      <c r="E67" s="2876"/>
      <c r="F67" s="2877"/>
      <c r="G67" s="996"/>
      <c r="H67" s="2876"/>
      <c r="I67" s="2877"/>
      <c r="J67" s="996"/>
      <c r="K67" s="2880"/>
      <c r="L67" s="2881"/>
      <c r="M67" s="996"/>
      <c r="N67" s="996"/>
      <c r="O67" s="996"/>
      <c r="P67" s="996"/>
      <c r="Q67" s="996"/>
      <c r="R67" s="996"/>
      <c r="S67" s="996"/>
      <c r="T67" s="996"/>
    </row>
    <row r="68" spans="2:21" x14ac:dyDescent="0.2">
      <c r="B68" s="1006" t="s">
        <v>299</v>
      </c>
      <c r="C68" s="1007"/>
      <c r="D68" s="996"/>
      <c r="E68" s="1006" t="s">
        <v>300</v>
      </c>
      <c r="F68" s="1007" t="e">
        <f ca="1">ROUNDUP(C76/2,0)</f>
        <v>#NAME?</v>
      </c>
      <c r="G68" s="996"/>
      <c r="H68" s="1006" t="s">
        <v>301</v>
      </c>
      <c r="I68" s="1635" t="e">
        <f ca="1">SUM(S82:S96)*'Scrap + Defect'!F21</f>
        <v>#NAME?</v>
      </c>
      <c r="J68" s="996"/>
      <c r="K68" s="1020" t="s">
        <v>302</v>
      </c>
      <c r="L68" s="1992">
        <f>'General Assumptions'!C25</f>
        <v>1140</v>
      </c>
      <c r="M68" s="996"/>
      <c r="N68" s="996"/>
      <c r="O68" s="996"/>
      <c r="P68" s="996"/>
      <c r="Q68" s="996"/>
      <c r="R68" s="996"/>
      <c r="S68" s="996"/>
      <c r="T68" s="996"/>
    </row>
    <row r="69" spans="2:21" x14ac:dyDescent="0.2">
      <c r="B69" s="1006" t="s">
        <v>303</v>
      </c>
      <c r="C69" s="1007" t="e">
        <f ca="1">'BASES MODEL (Base Case)'!D37</f>
        <v>#NAME?</v>
      </c>
      <c r="D69" s="996"/>
      <c r="E69" s="1006" t="s">
        <v>304</v>
      </c>
      <c r="F69" s="1055" t="e">
        <f ca="1">ROUNDUP($I$78*C77*SQRT('General Assumptions'!$C$21),0)</f>
        <v>#NAME?</v>
      </c>
      <c r="G69" s="996"/>
      <c r="H69" s="1006" t="s">
        <v>305</v>
      </c>
      <c r="I69" s="1635" t="e">
        <f ca="1">F75*(SUMPRODUCT(C82:C96,D82:D96)+$C72)/2</f>
        <v>#NAME?</v>
      </c>
      <c r="J69" s="996"/>
      <c r="K69" s="997" t="s">
        <v>306</v>
      </c>
      <c r="L69" s="1008" t="e">
        <f ca="1">'General Assumptions'!$C$20*C72</f>
        <v>#NAME?</v>
      </c>
      <c r="M69" s="996"/>
      <c r="N69" s="996"/>
      <c r="O69" s="996"/>
      <c r="P69" s="996"/>
      <c r="Q69" s="996"/>
      <c r="R69" s="996"/>
      <c r="S69" s="996"/>
      <c r="T69" s="996"/>
    </row>
    <row r="70" spans="2:21" x14ac:dyDescent="0.2">
      <c r="B70" s="1006" t="s">
        <v>307</v>
      </c>
      <c r="C70" s="1007" t="e">
        <f ca="1">0.5*C69</f>
        <v>#NAME?</v>
      </c>
      <c r="D70" s="996"/>
      <c r="E70" s="1009" t="s">
        <v>308</v>
      </c>
      <c r="F70" s="1011" t="e">
        <f ca="1">F69-F68</f>
        <v>#NAME?</v>
      </c>
      <c r="G70" s="996"/>
      <c r="H70" s="1006" t="s">
        <v>346</v>
      </c>
      <c r="I70" s="1635" t="e">
        <f ca="1">F71*$C72</f>
        <v>#NAME?</v>
      </c>
      <c r="J70" s="996"/>
      <c r="K70" s="1001" t="s">
        <v>347</v>
      </c>
      <c r="L70" s="1991" t="e">
        <f ca="1">C69</f>
        <v>#NAME?</v>
      </c>
      <c r="M70" s="996"/>
      <c r="N70" s="996"/>
      <c r="O70" s="996"/>
      <c r="P70" s="996"/>
      <c r="Q70" s="996"/>
      <c r="R70" s="996"/>
      <c r="S70" s="996"/>
      <c r="T70" s="996"/>
    </row>
    <row r="71" spans="2:21" x14ac:dyDescent="0.2">
      <c r="B71" s="1006" t="s">
        <v>311</v>
      </c>
      <c r="C71" s="1007" t="e">
        <f ca="1">2*C69</f>
        <v>#NAME?</v>
      </c>
      <c r="D71" s="996"/>
      <c r="E71" s="2033" t="s">
        <v>312</v>
      </c>
      <c r="F71" s="2025" t="e">
        <f ca="1">SUM(F68:F70)</f>
        <v>#NAME?</v>
      </c>
      <c r="G71" s="996"/>
      <c r="H71" s="1014" t="s">
        <v>348</v>
      </c>
      <c r="I71" s="1636" t="e">
        <f ca="1">SUM(I68:I70)</f>
        <v>#NAME?</v>
      </c>
      <c r="J71" s="996"/>
      <c r="K71" s="999"/>
      <c r="L71" s="1000"/>
      <c r="M71" s="996"/>
      <c r="N71" s="996"/>
      <c r="O71" s="996"/>
      <c r="P71" s="996"/>
      <c r="Q71" s="996"/>
      <c r="R71" s="996"/>
      <c r="S71" s="996"/>
      <c r="T71" s="996"/>
    </row>
    <row r="72" spans="2:21" x14ac:dyDescent="0.2">
      <c r="B72" s="1015" t="s">
        <v>313</v>
      </c>
      <c r="C72" s="1019" t="e">
        <f ca="1">$N$28+'FE Assumptions'!E45+'FE Assumptions'!E48/'BASES MODEL (Base Case)'!D37</f>
        <v>#NAME?</v>
      </c>
      <c r="D72" s="996"/>
      <c r="E72" s="996"/>
      <c r="F72" s="996"/>
      <c r="G72" s="996"/>
      <c r="H72" s="1016"/>
      <c r="I72" s="1016"/>
      <c r="J72" s="996"/>
      <c r="K72" s="996"/>
      <c r="L72" s="996"/>
      <c r="M72" s="996"/>
      <c r="N72" s="996"/>
      <c r="O72" s="996"/>
      <c r="P72" s="996"/>
      <c r="Q72" s="996"/>
      <c r="R72" s="996"/>
      <c r="S72" s="996"/>
      <c r="T72" s="996"/>
    </row>
    <row r="73" spans="2:21" x14ac:dyDescent="0.2">
      <c r="B73" s="1006" t="s">
        <v>314</v>
      </c>
      <c r="C73" s="1007" t="e">
        <f ca="1">ROUNDUP((4*C69+C70+C71)/6,0)</f>
        <v>#NAME?</v>
      </c>
      <c r="D73" s="996"/>
      <c r="E73" s="2874" t="s">
        <v>315</v>
      </c>
      <c r="F73" s="2875"/>
      <c r="G73" s="996"/>
      <c r="H73" s="2874" t="s">
        <v>316</v>
      </c>
      <c r="I73" s="2875"/>
      <c r="J73" s="996"/>
      <c r="K73" s="996"/>
      <c r="L73" s="996"/>
      <c r="M73" s="996"/>
      <c r="N73" s="996"/>
      <c r="O73" s="996"/>
      <c r="P73" s="996" t="s">
        <v>349</v>
      </c>
      <c r="Q73" s="996"/>
      <c r="R73" s="996"/>
      <c r="S73" s="996"/>
      <c r="T73" s="996"/>
    </row>
    <row r="74" spans="2:21" x14ac:dyDescent="0.2">
      <c r="B74" s="1006" t="s">
        <v>317</v>
      </c>
      <c r="C74" s="1017" t="e">
        <f ca="1">(C71-C70)/6</f>
        <v>#NAME?</v>
      </c>
      <c r="D74" s="996"/>
      <c r="E74" s="2876"/>
      <c r="F74" s="2877"/>
      <c r="G74" s="996"/>
      <c r="H74" s="2876"/>
      <c r="I74" s="2877"/>
      <c r="J74" s="996"/>
      <c r="K74" s="996"/>
      <c r="L74" s="996"/>
      <c r="M74" s="996"/>
      <c r="N74" s="996"/>
      <c r="O74" s="996"/>
      <c r="P74" s="996"/>
      <c r="Q74" s="996"/>
      <c r="R74" s="996"/>
      <c r="S74" s="996"/>
      <c r="T74" s="996"/>
    </row>
    <row r="75" spans="2:21" x14ac:dyDescent="0.2">
      <c r="B75" s="1018" t="s">
        <v>318</v>
      </c>
      <c r="C75" s="1019">
        <f>'Avg.Weighted Manufacturer Price'!F16</f>
        <v>78.128888213851766</v>
      </c>
      <c r="D75" s="996"/>
      <c r="E75" s="1012" t="s">
        <v>319</v>
      </c>
      <c r="F75" s="1013" t="e">
        <f ca="1">C76*'General Assumptions'!$C$21</f>
        <v>#NAME?</v>
      </c>
      <c r="G75" s="996"/>
      <c r="H75" s="1009" t="s">
        <v>320</v>
      </c>
      <c r="I75" s="1054" t="e">
        <f ca="1">C72*'General Assumptions'!$C$20/6</f>
        <v>#NAME?</v>
      </c>
      <c r="J75" s="996"/>
      <c r="K75" s="996"/>
      <c r="L75" s="996"/>
      <c r="M75" s="996"/>
      <c r="N75" s="996"/>
      <c r="O75" s="996"/>
      <c r="P75" s="996"/>
      <c r="Q75" s="996"/>
      <c r="R75" s="996"/>
      <c r="S75" s="996"/>
      <c r="T75" s="996"/>
    </row>
    <row r="76" spans="2:21" x14ac:dyDescent="0.2">
      <c r="B76" s="1006" t="s">
        <v>321</v>
      </c>
      <c r="C76" s="1007" t="e">
        <f ca="1">ROUNDUP(C73/'General Assumptions'!$C$19,0)</f>
        <v>#NAME?</v>
      </c>
      <c r="D76" s="996"/>
      <c r="E76" s="1016"/>
      <c r="F76" s="1016"/>
      <c r="G76" s="996"/>
      <c r="H76" s="1006" t="s">
        <v>322</v>
      </c>
      <c r="I76" s="1019" t="e">
        <f ca="1">C75-C72</f>
        <v>#NAME?</v>
      </c>
      <c r="J76" s="996"/>
      <c r="K76" s="996"/>
      <c r="L76" s="996"/>
      <c r="M76" s="996"/>
      <c r="N76" s="996"/>
      <c r="O76" s="996"/>
      <c r="P76" s="996"/>
      <c r="Q76" s="996"/>
      <c r="R76" s="996"/>
      <c r="S76" s="996"/>
      <c r="T76" s="996"/>
    </row>
    <row r="77" spans="2:21" x14ac:dyDescent="0.2">
      <c r="B77" s="1012" t="s">
        <v>323</v>
      </c>
      <c r="C77" s="1023" t="e">
        <f ca="1">C74/SQRT('General Assumptions'!$C$19)</f>
        <v>#NAME?</v>
      </c>
      <c r="D77" s="996"/>
      <c r="E77" s="1016"/>
      <c r="F77" s="1016"/>
      <c r="G77" s="996"/>
      <c r="H77" s="1006" t="s">
        <v>316</v>
      </c>
      <c r="I77" s="1056" t="e">
        <f ca="1">I76/(I76+I75)</f>
        <v>#NAME?</v>
      </c>
      <c r="J77" s="996"/>
      <c r="K77" s="996"/>
      <c r="L77" s="996"/>
      <c r="M77" s="996"/>
      <c r="N77" s="996"/>
      <c r="O77" s="996"/>
      <c r="P77" s="996"/>
      <c r="Q77" s="996"/>
      <c r="R77" s="996"/>
      <c r="S77" s="996"/>
      <c r="T77" s="996"/>
    </row>
    <row r="78" spans="2:21" x14ac:dyDescent="0.2">
      <c r="B78" s="1016"/>
      <c r="C78" s="1016"/>
      <c r="D78" s="996"/>
      <c r="E78" s="1016"/>
      <c r="F78" s="1016"/>
      <c r="G78" s="996"/>
      <c r="H78" s="1012" t="s">
        <v>324</v>
      </c>
      <c r="I78" s="1023" t="e">
        <f ca="1">NORMSINV(I77)</f>
        <v>#NAME?</v>
      </c>
      <c r="J78" s="996"/>
      <c r="K78" s="996"/>
      <c r="L78" s="996"/>
      <c r="M78" s="996"/>
      <c r="N78" s="996"/>
      <c r="O78" s="996"/>
      <c r="P78" s="996"/>
      <c r="Q78" s="996"/>
      <c r="R78" s="996"/>
      <c r="S78" s="996"/>
      <c r="T78" s="996"/>
    </row>
    <row r="79" spans="2:21" x14ac:dyDescent="0.2">
      <c r="B79" s="1016"/>
      <c r="C79" s="1016"/>
      <c r="D79" s="996"/>
      <c r="E79" s="1057"/>
      <c r="F79" s="996"/>
      <c r="G79" s="996"/>
      <c r="H79" s="996"/>
      <c r="I79" s="996"/>
      <c r="J79" s="996"/>
      <c r="K79" s="996"/>
      <c r="L79" s="996"/>
      <c r="M79" s="996"/>
      <c r="N79" s="996"/>
      <c r="O79" s="996"/>
      <c r="P79" s="996"/>
      <c r="Q79" s="996"/>
      <c r="R79" s="996"/>
      <c r="S79" s="996"/>
      <c r="T79" s="996"/>
    </row>
    <row r="80" spans="2:21" x14ac:dyDescent="0.2">
      <c r="B80" s="2038" t="s">
        <v>350</v>
      </c>
      <c r="C80" s="1027"/>
      <c r="D80" s="1027"/>
      <c r="E80" s="1027"/>
      <c r="F80" s="1027"/>
      <c r="G80" s="1027"/>
      <c r="H80" s="1027"/>
      <c r="I80" s="1027"/>
      <c r="J80" s="1027"/>
      <c r="K80" s="1027"/>
      <c r="L80" s="1027"/>
      <c r="M80" s="1027"/>
      <c r="N80" s="1027"/>
      <c r="O80" s="1027"/>
      <c r="P80" s="1027"/>
      <c r="Q80" s="1027"/>
      <c r="R80" s="1027"/>
      <c r="S80" s="1027"/>
      <c r="T80" s="1027"/>
      <c r="U80" s="791"/>
    </row>
    <row r="81" spans="2:21" ht="48" x14ac:dyDescent="0.2">
      <c r="B81" s="1078" t="s">
        <v>325</v>
      </c>
      <c r="C81" s="1077" t="s">
        <v>326</v>
      </c>
      <c r="D81" s="1075" t="s">
        <v>327</v>
      </c>
      <c r="E81" s="1075" t="s">
        <v>328</v>
      </c>
      <c r="F81" s="1075" t="s">
        <v>329</v>
      </c>
      <c r="G81" s="1075" t="s">
        <v>330</v>
      </c>
      <c r="H81" s="1075" t="s">
        <v>331</v>
      </c>
      <c r="I81" s="1075" t="s">
        <v>332</v>
      </c>
      <c r="J81" s="1075" t="s">
        <v>333</v>
      </c>
      <c r="K81" s="1075" t="s">
        <v>334</v>
      </c>
      <c r="L81" s="1075" t="s">
        <v>335</v>
      </c>
      <c r="M81" s="1075" t="s">
        <v>336</v>
      </c>
      <c r="N81" s="1075" t="s">
        <v>337</v>
      </c>
      <c r="O81" s="1075" t="s">
        <v>300</v>
      </c>
      <c r="P81" s="1075" t="s">
        <v>304</v>
      </c>
      <c r="Q81" s="1075" t="s">
        <v>338</v>
      </c>
      <c r="R81" s="1075" t="s">
        <v>339</v>
      </c>
      <c r="S81" s="1075" t="s">
        <v>340</v>
      </c>
      <c r="T81" s="1075" t="s">
        <v>341</v>
      </c>
      <c r="U81" s="1076" t="s">
        <v>342</v>
      </c>
    </row>
    <row r="82" spans="2:21" x14ac:dyDescent="0.2">
      <c r="B82" s="1035" t="s">
        <v>238</v>
      </c>
      <c r="C82" s="1029">
        <f>$H$13</f>
        <v>0.25</v>
      </c>
      <c r="D82" s="1030">
        <f>$L$13</f>
        <v>1</v>
      </c>
      <c r="E82" s="1029" t="e">
        <f ca="1">$M$13</f>
        <v>#NAME?</v>
      </c>
      <c r="F82" s="1031" t="e">
        <f ca="1">ROUNDUP(D82*$C$76,0)</f>
        <v>#NAME?</v>
      </c>
      <c r="G82" s="1027" t="e">
        <f t="shared" ref="G82:G83" ca="1" si="14">D82*$C$77</f>
        <v>#NAME?</v>
      </c>
      <c r="H82" s="1027">
        <f>'General Assumptions'!$C$23/'General Assumptions'!$C$22</f>
        <v>4.2857142857142856</v>
      </c>
      <c r="I82" s="1027">
        <f>0.8*H82</f>
        <v>3.4285714285714288</v>
      </c>
      <c r="J82" s="1027">
        <f>2*H82</f>
        <v>8.5714285714285712</v>
      </c>
      <c r="K82" s="1027">
        <f>(I82+4*H82+J82)/6</f>
        <v>4.8571428571428568</v>
      </c>
      <c r="L82" s="1027">
        <f>(J82-I82)/6</f>
        <v>0.8571428571428571</v>
      </c>
      <c r="M82" s="1027">
        <f>'General Assumptions'!$C$24/'General Assumptions'!$C$22</f>
        <v>0.5714285714285714</v>
      </c>
      <c r="N82" s="1032" t="e">
        <f ca="1">ROUNDUP(SQRT((2*F82*'General Assumptions'!$C$19*'General Assumptions'!$C$25)/(C82*'General Assumptions'!$C$20)),0)</f>
        <v>#NAME?</v>
      </c>
      <c r="O82" s="1033" t="e">
        <f ca="1">ROUNDUP(N82/2,0)</f>
        <v>#NAME?</v>
      </c>
      <c r="P82" s="1033" t="e">
        <f ca="1">ROUNDUP($I$78*SQRT((I82*G82^2)+(F82^2)*(L82^2)),0)</f>
        <v>#NAME?</v>
      </c>
      <c r="Q82" s="1032" t="e">
        <f ca="1">ROUNDUP(F82*M82,0)</f>
        <v>#NAME?</v>
      </c>
      <c r="R82" s="1033" t="e">
        <f ca="1">SUM(O82:Q82)</f>
        <v>#NAME?</v>
      </c>
      <c r="S82" s="1994" t="e">
        <f ca="1">R82*C82</f>
        <v>#NAME?</v>
      </c>
      <c r="T82" s="1995" t="e">
        <f ca="1">ROUNDUP(SQRT((2*('General Assumptions'!$C$19*F82)*'General Assumptions'!$C$25)/$L$69),0)</f>
        <v>#NAME?</v>
      </c>
      <c r="U82" s="1996" t="e">
        <f ca="1">ROUNDUP((F82*'General Assumptions'!$C$19)/T82,0)</f>
        <v>#NAME?</v>
      </c>
    </row>
    <row r="83" spans="2:21" x14ac:dyDescent="0.2">
      <c r="B83" s="1035" t="s">
        <v>243</v>
      </c>
      <c r="C83" s="1029">
        <f>$H$14</f>
        <v>8.0000000000000002E-3</v>
      </c>
      <c r="D83" s="1030">
        <f>$L$14</f>
        <v>1</v>
      </c>
      <c r="E83" s="1029" t="e">
        <f ca="1">$M$14</f>
        <v>#NAME?</v>
      </c>
      <c r="F83" s="1031" t="e">
        <f t="shared" ref="F83:F95" ca="1" si="15">ROUNDUP(D83*$C$76,0)</f>
        <v>#NAME?</v>
      </c>
      <c r="G83" s="1027" t="e">
        <f t="shared" ca="1" si="14"/>
        <v>#NAME?</v>
      </c>
      <c r="H83" s="1027">
        <f>'General Assumptions'!$C$23/'General Assumptions'!$C$22</f>
        <v>4.2857142857142856</v>
      </c>
      <c r="I83" s="1027">
        <f>0.8*H83</f>
        <v>3.4285714285714288</v>
      </c>
      <c r="J83" s="1027">
        <f>2*H83</f>
        <v>8.5714285714285712</v>
      </c>
      <c r="K83" s="1027">
        <f>(I83+4*H83+J83)/6</f>
        <v>4.8571428571428568</v>
      </c>
      <c r="L83" s="1027">
        <f>(J83-I83)/6</f>
        <v>0.8571428571428571</v>
      </c>
      <c r="M83" s="1027">
        <f>'General Assumptions'!$C$24/'General Assumptions'!$C$22</f>
        <v>0.5714285714285714</v>
      </c>
      <c r="N83" s="1032" t="e">
        <f ca="1">ROUNDUP(SQRT((2*F83*'General Assumptions'!$C$19*'General Assumptions'!$C$25)/(C83*'General Assumptions'!$C$20)),0)</f>
        <v>#NAME?</v>
      </c>
      <c r="O83" s="1033" t="e">
        <f t="shared" ref="O83:O96" ca="1" si="16">ROUNDUP(N83/2,0)</f>
        <v>#NAME?</v>
      </c>
      <c r="P83" s="1033" t="e">
        <f t="shared" ref="P83:P96" ca="1" si="17">ROUNDUP($I$78*SQRT((I83*G83^2)+(F83^2)*(L83^2)),0)</f>
        <v>#NAME?</v>
      </c>
      <c r="Q83" s="1032" t="e">
        <f t="shared" ref="Q83:Q96" ca="1" si="18">ROUNDUP(F83*M83,0)</f>
        <v>#NAME?</v>
      </c>
      <c r="R83" s="1033" t="e">
        <f ca="1">SUM(O83:Q83)</f>
        <v>#NAME?</v>
      </c>
      <c r="S83" s="1994" t="e">
        <f ca="1">R83*C83</f>
        <v>#NAME?</v>
      </c>
      <c r="T83" s="1995" t="e">
        <f ca="1">ROUNDUP(SQRT((2*('General Assumptions'!$C$19*F83)*'General Assumptions'!$C$25)/$L$69),0)</f>
        <v>#NAME?</v>
      </c>
      <c r="U83" s="1996" t="e">
        <f ca="1">ROUNDUP((F83*'General Assumptions'!$C$19)/T83,0)</f>
        <v>#NAME?</v>
      </c>
    </row>
    <row r="84" spans="2:21" x14ac:dyDescent="0.2">
      <c r="B84" s="1036" t="s">
        <v>247</v>
      </c>
      <c r="C84" s="1029">
        <f>$H$15</f>
        <v>0.4</v>
      </c>
      <c r="D84" s="1030">
        <f>$L$15</f>
        <v>4</v>
      </c>
      <c r="E84" s="1029" t="e">
        <f ca="1">M$15</f>
        <v>#NAME?</v>
      </c>
      <c r="F84" s="1031" t="e">
        <f t="shared" ca="1" si="15"/>
        <v>#NAME?</v>
      </c>
      <c r="G84" s="1027" t="e">
        <f ca="1">D84*$C$77</f>
        <v>#NAME?</v>
      </c>
      <c r="H84" s="1027">
        <f>'General Assumptions'!$C$23/'General Assumptions'!$C$22</f>
        <v>4.2857142857142856</v>
      </c>
      <c r="I84" s="1027">
        <f>0.8*H84</f>
        <v>3.4285714285714288</v>
      </c>
      <c r="J84" s="1027">
        <f>2*H84</f>
        <v>8.5714285714285712</v>
      </c>
      <c r="K84" s="1027">
        <f>(I84+4*H84+J84)/6</f>
        <v>4.8571428571428568</v>
      </c>
      <c r="L84" s="1027">
        <f>(J84-I84)/6</f>
        <v>0.8571428571428571</v>
      </c>
      <c r="M84" s="1027">
        <f>'General Assumptions'!$C$24/'General Assumptions'!$C$22</f>
        <v>0.5714285714285714</v>
      </c>
      <c r="N84" s="1032" t="e">
        <f ca="1">ROUNDUP(SQRT((2*F84*'General Assumptions'!$C$19*'General Assumptions'!$C$25)/(C84*'General Assumptions'!$C$20)),0)</f>
        <v>#NAME?</v>
      </c>
      <c r="O84" s="1033" t="e">
        <f t="shared" ca="1" si="16"/>
        <v>#NAME?</v>
      </c>
      <c r="P84" s="1033" t="e">
        <f t="shared" ca="1" si="17"/>
        <v>#NAME?</v>
      </c>
      <c r="Q84" s="1032" t="e">
        <f t="shared" ca="1" si="18"/>
        <v>#NAME?</v>
      </c>
      <c r="R84" s="1033" t="e">
        <f ca="1">SUM(O84:Q84)</f>
        <v>#NAME?</v>
      </c>
      <c r="S84" s="1994" t="e">
        <f t="shared" ref="S84:S96" ca="1" si="19">R84*C84</f>
        <v>#NAME?</v>
      </c>
      <c r="T84" s="1995" t="e">
        <f ca="1">ROUNDUP(SQRT((2*('General Assumptions'!$C$19*F84)*'General Assumptions'!$C$25)/$L$69),0)</f>
        <v>#NAME?</v>
      </c>
      <c r="U84" s="1996" t="e">
        <f ca="1">ROUNDUP((F84*'General Assumptions'!$C$19)/T84,0)</f>
        <v>#NAME?</v>
      </c>
    </row>
    <row r="85" spans="2:21" x14ac:dyDescent="0.2">
      <c r="B85" s="1036" t="s">
        <v>343</v>
      </c>
      <c r="C85" s="1029">
        <f>$H$16</f>
        <v>6.75</v>
      </c>
      <c r="D85" s="1030">
        <f>$L$16</f>
        <v>0.57253801085568334</v>
      </c>
      <c r="E85" s="1029" t="e">
        <f ca="1">M$16</f>
        <v>#NAME?</v>
      </c>
      <c r="F85" s="1031" t="e">
        <f t="shared" ca="1" si="15"/>
        <v>#NAME?</v>
      </c>
      <c r="G85" s="1027" t="e">
        <f t="shared" ref="G85:G96" ca="1" si="20">D85*$C$77</f>
        <v>#NAME?</v>
      </c>
      <c r="H85" s="1027">
        <f>'General Assumptions'!$C$24/'General Assumptions'!$C$22</f>
        <v>0.5714285714285714</v>
      </c>
      <c r="I85" s="1027">
        <f t="shared" ref="I85:I96" si="21">0.8*H85</f>
        <v>0.45714285714285713</v>
      </c>
      <c r="J85" s="1027">
        <f t="shared" ref="J85:J96" si="22">2*H85</f>
        <v>1.1428571428571428</v>
      </c>
      <c r="K85" s="1027">
        <f t="shared" ref="K85:K96" si="23">(I85+4*H85+J85)/6</f>
        <v>0.64761904761904765</v>
      </c>
      <c r="L85" s="1027">
        <f t="shared" ref="L85:L96" si="24">(J85-I85)/6</f>
        <v>0.11428571428571428</v>
      </c>
      <c r="M85" s="1027">
        <f>'General Assumptions'!$C$24/'General Assumptions'!$C$22</f>
        <v>0.5714285714285714</v>
      </c>
      <c r="N85" s="1032" t="e">
        <f ca="1">ROUNDUP(SQRT((2*F85*'General Assumptions'!$C$19*'General Assumptions'!$C$25)/(C85*'General Assumptions'!$C$20)),0)</f>
        <v>#NAME?</v>
      </c>
      <c r="O85" s="1033" t="e">
        <f t="shared" ca="1" si="16"/>
        <v>#NAME?</v>
      </c>
      <c r="P85" s="1033" t="e">
        <f t="shared" ca="1" si="17"/>
        <v>#NAME?</v>
      </c>
      <c r="Q85" s="1032" t="e">
        <f t="shared" ca="1" si="18"/>
        <v>#NAME?</v>
      </c>
      <c r="R85" s="1033" t="e">
        <f t="shared" ref="R85:R96" ca="1" si="25">SUM(O85:Q85)</f>
        <v>#NAME?</v>
      </c>
      <c r="S85" s="1994" t="e">
        <f t="shared" ca="1" si="19"/>
        <v>#NAME?</v>
      </c>
      <c r="T85" s="1995" t="e">
        <f ca="1">ROUNDUP(SQRT((2*('General Assumptions'!$C$19*F85)*'General Assumptions'!$C$25)/$L$69),0)</f>
        <v>#NAME?</v>
      </c>
      <c r="U85" s="1996" t="e">
        <f ca="1">ROUNDUP((F85*'General Assumptions'!$C$19)/T85,0)</f>
        <v>#NAME?</v>
      </c>
    </row>
    <row r="86" spans="2:21" x14ac:dyDescent="0.2">
      <c r="B86" s="1038" t="s">
        <v>255</v>
      </c>
      <c r="C86" s="1029">
        <f>$H$17</f>
        <v>4</v>
      </c>
      <c r="D86" s="1030">
        <f>$L$17</f>
        <v>1</v>
      </c>
      <c r="E86" s="1029" t="e">
        <f ca="1">M$17</f>
        <v>#NAME?</v>
      </c>
      <c r="F86" s="1031" t="e">
        <f t="shared" ca="1" si="15"/>
        <v>#NAME?</v>
      </c>
      <c r="G86" s="1027" t="e">
        <f t="shared" ca="1" si="20"/>
        <v>#NAME?</v>
      </c>
      <c r="H86" s="1027">
        <f>'General Assumptions'!$C$23/'General Assumptions'!$C$22</f>
        <v>4.2857142857142856</v>
      </c>
      <c r="I86" s="1027">
        <f t="shared" si="21"/>
        <v>3.4285714285714288</v>
      </c>
      <c r="J86" s="1027">
        <f t="shared" si="22"/>
        <v>8.5714285714285712</v>
      </c>
      <c r="K86" s="1027">
        <f t="shared" si="23"/>
        <v>4.8571428571428568</v>
      </c>
      <c r="L86" s="1027">
        <f t="shared" si="24"/>
        <v>0.8571428571428571</v>
      </c>
      <c r="M86" s="1027">
        <f>'General Assumptions'!$C$24/'General Assumptions'!$C$22</f>
        <v>0.5714285714285714</v>
      </c>
      <c r="N86" s="1032" t="e">
        <f ca="1">ROUNDUP(SQRT((2*F86*'General Assumptions'!$C$19*'General Assumptions'!$C$25)/(C86*'General Assumptions'!$C$20)),0)</f>
        <v>#NAME?</v>
      </c>
      <c r="O86" s="1033" t="e">
        <f t="shared" ca="1" si="16"/>
        <v>#NAME?</v>
      </c>
      <c r="P86" s="1033" t="e">
        <f t="shared" ca="1" si="17"/>
        <v>#NAME?</v>
      </c>
      <c r="Q86" s="1032" t="e">
        <f t="shared" ca="1" si="18"/>
        <v>#NAME?</v>
      </c>
      <c r="R86" s="1033" t="e">
        <f t="shared" ca="1" si="25"/>
        <v>#NAME?</v>
      </c>
      <c r="S86" s="1994" t="e">
        <f t="shared" ca="1" si="19"/>
        <v>#NAME?</v>
      </c>
      <c r="T86" s="1995" t="e">
        <f ca="1">ROUNDUP(SQRT((2*('General Assumptions'!$C$19*F86)*'General Assumptions'!$C$25)/$L$69),0)</f>
        <v>#NAME?</v>
      </c>
      <c r="U86" s="1996" t="e">
        <f ca="1">ROUNDUP((F86*'General Assumptions'!$C$19)/T86,0)</f>
        <v>#NAME?</v>
      </c>
    </row>
    <row r="87" spans="2:21" x14ac:dyDescent="0.2">
      <c r="B87" s="1036" t="s">
        <v>258</v>
      </c>
      <c r="C87" s="1029">
        <f>$H$18</f>
        <v>4.5</v>
      </c>
      <c r="D87" s="1030">
        <f>$L$18</f>
        <v>1</v>
      </c>
      <c r="E87" s="1029" t="e">
        <f ca="1">M$18</f>
        <v>#NAME?</v>
      </c>
      <c r="F87" s="1031" t="e">
        <f t="shared" ca="1" si="15"/>
        <v>#NAME?</v>
      </c>
      <c r="G87" s="1027" t="e">
        <f t="shared" ca="1" si="20"/>
        <v>#NAME?</v>
      </c>
      <c r="H87" s="1027">
        <f>'General Assumptions'!$C$23/'General Assumptions'!$C$22</f>
        <v>4.2857142857142856</v>
      </c>
      <c r="I87" s="1027">
        <f t="shared" si="21"/>
        <v>3.4285714285714288</v>
      </c>
      <c r="J87" s="1027">
        <f t="shared" si="22"/>
        <v>8.5714285714285712</v>
      </c>
      <c r="K87" s="1027">
        <f t="shared" si="23"/>
        <v>4.8571428571428568</v>
      </c>
      <c r="L87" s="1027">
        <f t="shared" si="24"/>
        <v>0.8571428571428571</v>
      </c>
      <c r="M87" s="1027">
        <f>'General Assumptions'!$C$24/'General Assumptions'!$C$22</f>
        <v>0.5714285714285714</v>
      </c>
      <c r="N87" s="1032" t="e">
        <f ca="1">ROUNDUP(SQRT((2*F87*'General Assumptions'!$C$19*'General Assumptions'!$C$25)/(C87*'General Assumptions'!$C$20)),0)</f>
        <v>#NAME?</v>
      </c>
      <c r="O87" s="1033" t="e">
        <f t="shared" ca="1" si="16"/>
        <v>#NAME?</v>
      </c>
      <c r="P87" s="1033" t="e">
        <f t="shared" ca="1" si="17"/>
        <v>#NAME?</v>
      </c>
      <c r="Q87" s="1032" t="e">
        <f t="shared" ca="1" si="18"/>
        <v>#NAME?</v>
      </c>
      <c r="R87" s="1033" t="e">
        <f t="shared" ca="1" si="25"/>
        <v>#NAME?</v>
      </c>
      <c r="S87" s="1994" t="e">
        <f t="shared" ca="1" si="19"/>
        <v>#NAME?</v>
      </c>
      <c r="T87" s="1995" t="e">
        <f ca="1">ROUNDUP(SQRT((2*('General Assumptions'!$C$19*F87)*'General Assumptions'!$C$25)/$L$69),0)</f>
        <v>#NAME?</v>
      </c>
      <c r="U87" s="1996" t="e">
        <f ca="1">ROUNDUP((F87*'General Assumptions'!$C$19)/T87,0)</f>
        <v>#NAME?</v>
      </c>
    </row>
    <row r="88" spans="2:21" x14ac:dyDescent="0.2">
      <c r="B88" s="1038" t="s">
        <v>262</v>
      </c>
      <c r="C88" s="1029">
        <f>$H$19</f>
        <v>5.8</v>
      </c>
      <c r="D88" s="1030">
        <f>$L$19</f>
        <v>2.5252525252525255E-3</v>
      </c>
      <c r="E88" s="1029" t="e">
        <f ca="1">M$19</f>
        <v>#NAME?</v>
      </c>
      <c r="F88" s="1031" t="e">
        <f t="shared" ca="1" si="15"/>
        <v>#NAME?</v>
      </c>
      <c r="G88" s="1027" t="e">
        <f t="shared" ca="1" si="20"/>
        <v>#NAME?</v>
      </c>
      <c r="H88" s="1027">
        <f>'General Assumptions'!$C$23/'General Assumptions'!$C$22</f>
        <v>4.2857142857142856</v>
      </c>
      <c r="I88" s="1027">
        <f t="shared" si="21"/>
        <v>3.4285714285714288</v>
      </c>
      <c r="J88" s="1027">
        <f t="shared" si="22"/>
        <v>8.5714285714285712</v>
      </c>
      <c r="K88" s="1027">
        <f t="shared" si="23"/>
        <v>4.8571428571428568</v>
      </c>
      <c r="L88" s="1027">
        <f t="shared" si="24"/>
        <v>0.8571428571428571</v>
      </c>
      <c r="M88" s="1027">
        <f>'General Assumptions'!$C$24/'General Assumptions'!$C$22</f>
        <v>0.5714285714285714</v>
      </c>
      <c r="N88" s="1032" t="e">
        <f ca="1">ROUNDUP(SQRT((2*F88*'General Assumptions'!$C$19*'General Assumptions'!$C$25)/(C88*'General Assumptions'!$C$20)),0)</f>
        <v>#NAME?</v>
      </c>
      <c r="O88" s="1033" t="e">
        <f t="shared" ca="1" si="16"/>
        <v>#NAME?</v>
      </c>
      <c r="P88" s="1033" t="e">
        <f t="shared" ca="1" si="17"/>
        <v>#NAME?</v>
      </c>
      <c r="Q88" s="1032" t="e">
        <f t="shared" ca="1" si="18"/>
        <v>#NAME?</v>
      </c>
      <c r="R88" s="1033" t="e">
        <f t="shared" ca="1" si="25"/>
        <v>#NAME?</v>
      </c>
      <c r="S88" s="1994" t="e">
        <f t="shared" ca="1" si="19"/>
        <v>#NAME?</v>
      </c>
      <c r="T88" s="1995" t="e">
        <f ca="1">ROUNDUP(SQRT((2*('General Assumptions'!$C$19*F88)*'General Assumptions'!$C$25)/$L$69),0)</f>
        <v>#NAME?</v>
      </c>
      <c r="U88" s="1996" t="e">
        <f ca="1">ROUNDUP((F88*'General Assumptions'!$C$19)/T88,0)</f>
        <v>#NAME?</v>
      </c>
    </row>
    <row r="89" spans="2:21" x14ac:dyDescent="0.2">
      <c r="B89" s="1036" t="s">
        <v>344</v>
      </c>
      <c r="C89" s="1029">
        <f>$H$20</f>
        <v>2.8</v>
      </c>
      <c r="D89" s="1030">
        <f>$L$20</f>
        <v>0.34017112903225799</v>
      </c>
      <c r="E89" s="1029" t="e">
        <f ca="1">M$20</f>
        <v>#NAME?</v>
      </c>
      <c r="F89" s="1031" t="e">
        <f t="shared" ca="1" si="15"/>
        <v>#NAME?</v>
      </c>
      <c r="G89" s="1027" t="e">
        <f t="shared" ca="1" si="20"/>
        <v>#NAME?</v>
      </c>
      <c r="H89" s="1027">
        <f>'General Assumptions'!$C$23/'General Assumptions'!$C$22</f>
        <v>4.2857142857142856</v>
      </c>
      <c r="I89" s="1027">
        <f t="shared" si="21"/>
        <v>3.4285714285714288</v>
      </c>
      <c r="J89" s="1027">
        <f t="shared" si="22"/>
        <v>8.5714285714285712</v>
      </c>
      <c r="K89" s="1027">
        <f t="shared" si="23"/>
        <v>4.8571428571428568</v>
      </c>
      <c r="L89" s="1027">
        <f t="shared" si="24"/>
        <v>0.8571428571428571</v>
      </c>
      <c r="M89" s="1027">
        <f>'General Assumptions'!$C$24/'General Assumptions'!$C$22</f>
        <v>0.5714285714285714</v>
      </c>
      <c r="N89" s="1032" t="e">
        <f ca="1">ROUNDUP(SQRT((2*F89*'General Assumptions'!$C$19*'General Assumptions'!$C$25)/(C89*'General Assumptions'!$C$20)),0)</f>
        <v>#NAME?</v>
      </c>
      <c r="O89" s="1033" t="e">
        <f t="shared" ca="1" si="16"/>
        <v>#NAME?</v>
      </c>
      <c r="P89" s="1033" t="e">
        <f t="shared" ca="1" si="17"/>
        <v>#NAME?</v>
      </c>
      <c r="Q89" s="1032" t="e">
        <f t="shared" ca="1" si="18"/>
        <v>#NAME?</v>
      </c>
      <c r="R89" s="1033" t="e">
        <f t="shared" ca="1" si="25"/>
        <v>#NAME?</v>
      </c>
      <c r="S89" s="1994" t="e">
        <f t="shared" ca="1" si="19"/>
        <v>#NAME?</v>
      </c>
      <c r="T89" s="1995" t="e">
        <f ca="1">ROUNDUP(SQRT((2*('General Assumptions'!$C$19*F89)*'General Assumptions'!$C$25)/$L$69),0)</f>
        <v>#NAME?</v>
      </c>
      <c r="U89" s="1996" t="e">
        <f ca="1">ROUNDUP((F89*'General Assumptions'!$C$19)/T89,0)</f>
        <v>#NAME?</v>
      </c>
    </row>
    <row r="90" spans="2:21" x14ac:dyDescent="0.2">
      <c r="B90" s="1036" t="s">
        <v>268</v>
      </c>
      <c r="C90" s="1029">
        <f>$H$21</f>
        <v>5</v>
      </c>
      <c r="D90" s="1030">
        <f>$L$21</f>
        <v>1.4693010726845441</v>
      </c>
      <c r="E90" s="1029" t="e">
        <f ca="1">M$21</f>
        <v>#NAME?</v>
      </c>
      <c r="F90" s="1031" t="e">
        <f t="shared" ca="1" si="15"/>
        <v>#NAME?</v>
      </c>
      <c r="G90" s="1027" t="e">
        <f t="shared" ca="1" si="20"/>
        <v>#NAME?</v>
      </c>
      <c r="H90" s="1027">
        <f>'General Assumptions'!$C$23/'General Assumptions'!$C$22</f>
        <v>4.2857142857142856</v>
      </c>
      <c r="I90" s="1027">
        <f t="shared" si="21"/>
        <v>3.4285714285714288</v>
      </c>
      <c r="J90" s="1027">
        <f t="shared" si="22"/>
        <v>8.5714285714285712</v>
      </c>
      <c r="K90" s="1027">
        <f t="shared" si="23"/>
        <v>4.8571428571428568</v>
      </c>
      <c r="L90" s="1027">
        <f t="shared" si="24"/>
        <v>0.8571428571428571</v>
      </c>
      <c r="M90" s="1027">
        <f>'General Assumptions'!$C$24/'General Assumptions'!$C$22</f>
        <v>0.5714285714285714</v>
      </c>
      <c r="N90" s="1032" t="e">
        <f ca="1">ROUNDUP(SQRT((2*F90*'General Assumptions'!$C$19*'General Assumptions'!$C$25)/(C90*'General Assumptions'!$C$20)),0)</f>
        <v>#NAME?</v>
      </c>
      <c r="O90" s="1033" t="e">
        <f t="shared" ca="1" si="16"/>
        <v>#NAME?</v>
      </c>
      <c r="P90" s="1033" t="e">
        <f t="shared" ca="1" si="17"/>
        <v>#NAME?</v>
      </c>
      <c r="Q90" s="1032" t="e">
        <f t="shared" ca="1" si="18"/>
        <v>#NAME?</v>
      </c>
      <c r="R90" s="1033" t="e">
        <f t="shared" ca="1" si="25"/>
        <v>#NAME?</v>
      </c>
      <c r="S90" s="1994" t="e">
        <f t="shared" ca="1" si="19"/>
        <v>#NAME?</v>
      </c>
      <c r="T90" s="1995" t="e">
        <f ca="1">ROUNDUP(SQRT((2*('General Assumptions'!$C$19*F90)*'General Assumptions'!$C$25)/$L$69),0)</f>
        <v>#NAME?</v>
      </c>
      <c r="U90" s="1996" t="e">
        <f ca="1">ROUNDUP((F90*'General Assumptions'!$C$19)/T90,0)</f>
        <v>#NAME?</v>
      </c>
    </row>
    <row r="91" spans="2:21" x14ac:dyDescent="0.2">
      <c r="B91" s="1036" t="s">
        <v>272</v>
      </c>
      <c r="C91" s="1029">
        <f>$H$22</f>
        <v>0.25</v>
      </c>
      <c r="D91" s="1030">
        <f>$L$22</f>
        <v>2</v>
      </c>
      <c r="E91" s="1029" t="e">
        <f ca="1">M$22</f>
        <v>#NAME?</v>
      </c>
      <c r="F91" s="1031" t="e">
        <f t="shared" ca="1" si="15"/>
        <v>#NAME?</v>
      </c>
      <c r="G91" s="1027" t="e">
        <f t="shared" ca="1" si="20"/>
        <v>#NAME?</v>
      </c>
      <c r="H91" s="1027">
        <f>'General Assumptions'!$C$23/'General Assumptions'!$C$22</f>
        <v>4.2857142857142856</v>
      </c>
      <c r="I91" s="1027">
        <f t="shared" si="21"/>
        <v>3.4285714285714288</v>
      </c>
      <c r="J91" s="1027">
        <f t="shared" si="22"/>
        <v>8.5714285714285712</v>
      </c>
      <c r="K91" s="1027">
        <f t="shared" si="23"/>
        <v>4.8571428571428568</v>
      </c>
      <c r="L91" s="1027">
        <f t="shared" si="24"/>
        <v>0.8571428571428571</v>
      </c>
      <c r="M91" s="1027">
        <f>'General Assumptions'!$C$24/'General Assumptions'!$C$22</f>
        <v>0.5714285714285714</v>
      </c>
      <c r="N91" s="1032" t="e">
        <f ca="1">ROUNDUP(SQRT((2*F91*'General Assumptions'!$C$19*'General Assumptions'!$C$25)/(C91*'General Assumptions'!$C$20)),0)</f>
        <v>#NAME?</v>
      </c>
      <c r="O91" s="1033" t="e">
        <f t="shared" ca="1" si="16"/>
        <v>#NAME?</v>
      </c>
      <c r="P91" s="1033" t="e">
        <f t="shared" ca="1" si="17"/>
        <v>#NAME?</v>
      </c>
      <c r="Q91" s="1032" t="e">
        <f t="shared" ca="1" si="18"/>
        <v>#NAME?</v>
      </c>
      <c r="R91" s="1033" t="e">
        <f t="shared" ca="1" si="25"/>
        <v>#NAME?</v>
      </c>
      <c r="S91" s="1994" t="e">
        <f t="shared" ca="1" si="19"/>
        <v>#NAME?</v>
      </c>
      <c r="T91" s="1995" t="e">
        <f ca="1">ROUNDUP(SQRT((2*('General Assumptions'!$C$19*F91)*'General Assumptions'!$C$25)/$L$69),0)</f>
        <v>#NAME?</v>
      </c>
      <c r="U91" s="1996" t="e">
        <f ca="1">ROUNDUP((F91*'General Assumptions'!$C$19)/T91,0)</f>
        <v>#NAME?</v>
      </c>
    </row>
    <row r="92" spans="2:21" x14ac:dyDescent="0.2">
      <c r="B92" s="1036" t="s">
        <v>276</v>
      </c>
      <c r="C92" s="1029">
        <f>$H$23</f>
        <v>0.05</v>
      </c>
      <c r="D92" s="1030">
        <f>$L$23</f>
        <v>0.91439950622426658</v>
      </c>
      <c r="E92" s="1029" t="e">
        <f ca="1">M$23</f>
        <v>#NAME?</v>
      </c>
      <c r="F92" s="1031" t="e">
        <f t="shared" ca="1" si="15"/>
        <v>#NAME?</v>
      </c>
      <c r="G92" s="1027" t="e">
        <f t="shared" ca="1" si="20"/>
        <v>#NAME?</v>
      </c>
      <c r="H92" s="1027">
        <f>'General Assumptions'!$C$23/'General Assumptions'!$C$22</f>
        <v>4.2857142857142856</v>
      </c>
      <c r="I92" s="1027">
        <f t="shared" si="21"/>
        <v>3.4285714285714288</v>
      </c>
      <c r="J92" s="1027">
        <f t="shared" si="22"/>
        <v>8.5714285714285712</v>
      </c>
      <c r="K92" s="1027">
        <f t="shared" si="23"/>
        <v>4.8571428571428568</v>
      </c>
      <c r="L92" s="1027">
        <f t="shared" si="24"/>
        <v>0.8571428571428571</v>
      </c>
      <c r="M92" s="1027">
        <f>'General Assumptions'!$C$24/'General Assumptions'!$C$22</f>
        <v>0.5714285714285714</v>
      </c>
      <c r="N92" s="1032" t="e">
        <f ca="1">ROUNDUP(SQRT((2*F92*'General Assumptions'!$C$19*'General Assumptions'!$C$25)/(C92*'General Assumptions'!$C$20)),0)</f>
        <v>#NAME?</v>
      </c>
      <c r="O92" s="1033" t="e">
        <f t="shared" ca="1" si="16"/>
        <v>#NAME?</v>
      </c>
      <c r="P92" s="1033" t="e">
        <f t="shared" ca="1" si="17"/>
        <v>#NAME?</v>
      </c>
      <c r="Q92" s="1032" t="e">
        <f t="shared" ca="1" si="18"/>
        <v>#NAME?</v>
      </c>
      <c r="R92" s="1033" t="e">
        <f t="shared" ca="1" si="25"/>
        <v>#NAME?</v>
      </c>
      <c r="S92" s="1994" t="e">
        <f t="shared" ca="1" si="19"/>
        <v>#NAME?</v>
      </c>
      <c r="T92" s="1995" t="e">
        <f ca="1">ROUNDUP(SQRT((2*('General Assumptions'!$C$19*F92)*'General Assumptions'!$C$25)/$L$69),0)</f>
        <v>#NAME?</v>
      </c>
      <c r="U92" s="1996" t="e">
        <f ca="1">ROUNDUP((F92*'General Assumptions'!$C$19)/T92,0)</f>
        <v>#NAME?</v>
      </c>
    </row>
    <row r="93" spans="2:21" x14ac:dyDescent="0.2">
      <c r="B93" s="1036" t="s">
        <v>279</v>
      </c>
      <c r="C93" s="1029">
        <f>$H$24</f>
        <v>1.8</v>
      </c>
      <c r="D93" s="1030">
        <f>$L$24</f>
        <v>0.69975730167128702</v>
      </c>
      <c r="E93" s="1029" t="e">
        <f ca="1">M$24</f>
        <v>#NAME?</v>
      </c>
      <c r="F93" s="1031" t="e">
        <f t="shared" ca="1" si="15"/>
        <v>#NAME?</v>
      </c>
      <c r="G93" s="1027" t="e">
        <f t="shared" ca="1" si="20"/>
        <v>#NAME?</v>
      </c>
      <c r="H93" s="1027">
        <f>'General Assumptions'!$C$23/'General Assumptions'!$C$22</f>
        <v>4.2857142857142856</v>
      </c>
      <c r="I93" s="1027">
        <f t="shared" si="21"/>
        <v>3.4285714285714288</v>
      </c>
      <c r="J93" s="1027">
        <f t="shared" si="22"/>
        <v>8.5714285714285712</v>
      </c>
      <c r="K93" s="1027">
        <f t="shared" si="23"/>
        <v>4.8571428571428568</v>
      </c>
      <c r="L93" s="1027">
        <f t="shared" si="24"/>
        <v>0.8571428571428571</v>
      </c>
      <c r="M93" s="1027">
        <f>'General Assumptions'!$C$24/'General Assumptions'!$C$22</f>
        <v>0.5714285714285714</v>
      </c>
      <c r="N93" s="1032" t="e">
        <f ca="1">ROUNDUP(SQRT((2*F93*'General Assumptions'!$C$19*'General Assumptions'!$C$25)/(C93*'General Assumptions'!$C$20)),0)</f>
        <v>#NAME?</v>
      </c>
      <c r="O93" s="1033" t="e">
        <f t="shared" ca="1" si="16"/>
        <v>#NAME?</v>
      </c>
      <c r="P93" s="1033" t="e">
        <f t="shared" ca="1" si="17"/>
        <v>#NAME?</v>
      </c>
      <c r="Q93" s="1032" t="e">
        <f t="shared" ca="1" si="18"/>
        <v>#NAME?</v>
      </c>
      <c r="R93" s="1033" t="e">
        <f t="shared" ca="1" si="25"/>
        <v>#NAME?</v>
      </c>
      <c r="S93" s="1994" t="e">
        <f t="shared" ca="1" si="19"/>
        <v>#NAME?</v>
      </c>
      <c r="T93" s="1995" t="e">
        <f ca="1">ROUNDUP(SQRT((2*('General Assumptions'!$C$19*F93)*'General Assumptions'!$C$25)/$L$69),0)</f>
        <v>#NAME?</v>
      </c>
      <c r="U93" s="1996" t="e">
        <f ca="1">ROUNDUP((F93*'General Assumptions'!$C$19)/T93,0)</f>
        <v>#NAME?</v>
      </c>
    </row>
    <row r="94" spans="2:21" x14ac:dyDescent="0.2">
      <c r="B94" s="1036" t="s">
        <v>282</v>
      </c>
      <c r="C94" s="1029">
        <f>$H$25</f>
        <v>3</v>
      </c>
      <c r="D94" s="1030">
        <f>$L$25</f>
        <v>9.8254910065803294E-2</v>
      </c>
      <c r="E94" s="1029" t="e">
        <f ca="1">M$25</f>
        <v>#NAME?</v>
      </c>
      <c r="F94" s="1031" t="e">
        <f t="shared" ca="1" si="15"/>
        <v>#NAME?</v>
      </c>
      <c r="G94" s="1027" t="e">
        <f t="shared" ca="1" si="20"/>
        <v>#NAME?</v>
      </c>
      <c r="H94" s="1027">
        <f>'General Assumptions'!$C$23/'General Assumptions'!$C$22</f>
        <v>4.2857142857142856</v>
      </c>
      <c r="I94" s="1027">
        <f t="shared" si="21"/>
        <v>3.4285714285714288</v>
      </c>
      <c r="J94" s="1027">
        <f t="shared" si="22"/>
        <v>8.5714285714285712</v>
      </c>
      <c r="K94" s="1027">
        <f t="shared" si="23"/>
        <v>4.8571428571428568</v>
      </c>
      <c r="L94" s="1027">
        <f t="shared" si="24"/>
        <v>0.8571428571428571</v>
      </c>
      <c r="M94" s="1027">
        <f>'General Assumptions'!$C$24/'General Assumptions'!$C$22</f>
        <v>0.5714285714285714</v>
      </c>
      <c r="N94" s="1032" t="e">
        <f ca="1">ROUNDUP(SQRT((2*F94*'General Assumptions'!$C$19*'General Assumptions'!$C$25)/(C94*'General Assumptions'!$C$20)),0)</f>
        <v>#NAME?</v>
      </c>
      <c r="O94" s="1033" t="e">
        <f t="shared" ca="1" si="16"/>
        <v>#NAME?</v>
      </c>
      <c r="P94" s="1033" t="e">
        <f t="shared" ca="1" si="17"/>
        <v>#NAME?</v>
      </c>
      <c r="Q94" s="1032" t="e">
        <f t="shared" ca="1" si="18"/>
        <v>#NAME?</v>
      </c>
      <c r="R94" s="1033" t="e">
        <f t="shared" ca="1" si="25"/>
        <v>#NAME?</v>
      </c>
      <c r="S94" s="1994" t="e">
        <f t="shared" ca="1" si="19"/>
        <v>#NAME?</v>
      </c>
      <c r="T94" s="1995" t="e">
        <f ca="1">ROUNDUP(SQRT((2*('General Assumptions'!$C$19*F94)*'General Assumptions'!$C$25)/$L$69),0)</f>
        <v>#NAME?</v>
      </c>
      <c r="U94" s="1996" t="e">
        <f ca="1">ROUNDUP((F94*'General Assumptions'!$C$19)/T94,0)</f>
        <v>#NAME?</v>
      </c>
    </row>
    <row r="95" spans="2:21" x14ac:dyDescent="0.2">
      <c r="B95" s="1036" t="s">
        <v>286</v>
      </c>
      <c r="C95" s="1029">
        <f>$H$26</f>
        <v>0.1</v>
      </c>
      <c r="D95" s="1030">
        <f>$L$26</f>
        <v>4.6651138808385042</v>
      </c>
      <c r="E95" s="1029" t="e">
        <f ca="1">M$26</f>
        <v>#NAME?</v>
      </c>
      <c r="F95" s="1031" t="e">
        <f t="shared" ca="1" si="15"/>
        <v>#NAME?</v>
      </c>
      <c r="G95" s="1027" t="e">
        <f t="shared" ca="1" si="20"/>
        <v>#NAME?</v>
      </c>
      <c r="H95" s="1027">
        <f>'General Assumptions'!$C$23/'General Assumptions'!$C$22</f>
        <v>4.2857142857142856</v>
      </c>
      <c r="I95" s="1027">
        <f t="shared" si="21"/>
        <v>3.4285714285714288</v>
      </c>
      <c r="J95" s="1027">
        <f t="shared" si="22"/>
        <v>8.5714285714285712</v>
      </c>
      <c r="K95" s="1027">
        <f t="shared" si="23"/>
        <v>4.8571428571428568</v>
      </c>
      <c r="L95" s="1027">
        <f t="shared" si="24"/>
        <v>0.8571428571428571</v>
      </c>
      <c r="M95" s="1027">
        <f>'General Assumptions'!$C$24/'General Assumptions'!$C$22</f>
        <v>0.5714285714285714</v>
      </c>
      <c r="N95" s="1032" t="e">
        <f ca="1">ROUNDUP(SQRT((2*F95*'General Assumptions'!$C$19*'General Assumptions'!$C$25)/(C95*'General Assumptions'!$C$20)),0)</f>
        <v>#NAME?</v>
      </c>
      <c r="O95" s="1033" t="e">
        <f t="shared" ca="1" si="16"/>
        <v>#NAME?</v>
      </c>
      <c r="P95" s="1033" t="e">
        <f t="shared" ca="1" si="17"/>
        <v>#NAME?</v>
      </c>
      <c r="Q95" s="1032" t="e">
        <f t="shared" ca="1" si="18"/>
        <v>#NAME?</v>
      </c>
      <c r="R95" s="1033" t="e">
        <f t="shared" ca="1" si="25"/>
        <v>#NAME?</v>
      </c>
      <c r="S95" s="1994" t="e">
        <f t="shared" ca="1" si="19"/>
        <v>#NAME?</v>
      </c>
      <c r="T95" s="1995" t="e">
        <f ca="1">ROUNDUP(SQRT((2*('General Assumptions'!$C$19*F95)*'General Assumptions'!$C$25)/$L$69),0)</f>
        <v>#NAME?</v>
      </c>
      <c r="U95" s="1996" t="e">
        <f ca="1">ROUNDUP((F95*'General Assumptions'!$C$19)/T95,0)</f>
        <v>#NAME?</v>
      </c>
    </row>
    <row r="96" spans="2:21" x14ac:dyDescent="0.2">
      <c r="B96" s="1039" t="s">
        <v>290</v>
      </c>
      <c r="C96" s="1040">
        <f>$H$27</f>
        <v>0.12</v>
      </c>
      <c r="D96" s="1041">
        <f>$L$27</f>
        <v>0.33337481997759721</v>
      </c>
      <c r="E96" s="1040" t="e">
        <f ca="1">M$27</f>
        <v>#NAME?</v>
      </c>
      <c r="F96" s="1042" t="e">
        <f ca="1">ROUNDUP(D96*$C$76,0)</f>
        <v>#NAME?</v>
      </c>
      <c r="G96" s="1043" t="e">
        <f t="shared" ca="1" si="20"/>
        <v>#NAME?</v>
      </c>
      <c r="H96" s="1043">
        <f>'General Assumptions'!$C$23/'General Assumptions'!$C$22</f>
        <v>4.2857142857142856</v>
      </c>
      <c r="I96" s="1043">
        <f t="shared" si="21"/>
        <v>3.4285714285714288</v>
      </c>
      <c r="J96" s="1043">
        <f t="shared" si="22"/>
        <v>8.5714285714285712</v>
      </c>
      <c r="K96" s="1043">
        <f t="shared" si="23"/>
        <v>4.8571428571428568</v>
      </c>
      <c r="L96" s="1043">
        <f t="shared" si="24"/>
        <v>0.8571428571428571</v>
      </c>
      <c r="M96" s="1043">
        <f>'General Assumptions'!$C$24/'General Assumptions'!$C$22</f>
        <v>0.5714285714285714</v>
      </c>
      <c r="N96" s="1044" t="e">
        <f ca="1">ROUNDUP(SQRT((2*F96*'General Assumptions'!$C$19*'General Assumptions'!$C$25)/(C96*'General Assumptions'!$C$20)),0)</f>
        <v>#NAME?</v>
      </c>
      <c r="O96" s="1045" t="e">
        <f t="shared" ca="1" si="16"/>
        <v>#NAME?</v>
      </c>
      <c r="P96" s="1045" t="e">
        <f t="shared" ca="1" si="17"/>
        <v>#NAME?</v>
      </c>
      <c r="Q96" s="1044" t="e">
        <f t="shared" ca="1" si="18"/>
        <v>#NAME?</v>
      </c>
      <c r="R96" s="1045" t="e">
        <f t="shared" ca="1" si="25"/>
        <v>#NAME?</v>
      </c>
      <c r="S96" s="1997" t="e">
        <f t="shared" ca="1" si="19"/>
        <v>#NAME?</v>
      </c>
      <c r="T96" s="1998" t="e">
        <f ca="1">ROUNDUP(SQRT((2*('General Assumptions'!$C$19*F96)*'General Assumptions'!$C$25)/$L$69),0)</f>
        <v>#NAME?</v>
      </c>
      <c r="U96" s="1999" t="e">
        <f ca="1">ROUNDUP((F96*'General Assumptions'!$C$19)/T96,0)</f>
        <v>#NAME?</v>
      </c>
    </row>
    <row r="97" spans="1:25" x14ac:dyDescent="0.2">
      <c r="B97" s="1016"/>
      <c r="C97" s="1016"/>
      <c r="D97" s="1016"/>
      <c r="E97" s="1016"/>
      <c r="F97" s="1016"/>
      <c r="G97" s="1016"/>
      <c r="H97" s="1016"/>
      <c r="I97" s="1016"/>
      <c r="J97" s="1016"/>
      <c r="K97" s="996"/>
      <c r="L97" s="996"/>
      <c r="M97" s="996"/>
      <c r="N97" s="996"/>
      <c r="O97" s="996"/>
      <c r="P97" s="996"/>
      <c r="Q97" s="996"/>
      <c r="R97" s="996"/>
      <c r="S97" s="996"/>
      <c r="T97" s="996"/>
    </row>
    <row r="98" spans="1:25" s="1005" customFormat="1" ht="1.25" customHeight="1" x14ac:dyDescent="0.2">
      <c r="A98" s="1002"/>
      <c r="B98" s="1058"/>
      <c r="C98" s="1058"/>
      <c r="D98" s="1058"/>
      <c r="E98" s="1058"/>
      <c r="F98" s="1058"/>
      <c r="G98" s="1058"/>
      <c r="H98" s="1058"/>
      <c r="I98" s="1058"/>
      <c r="J98" s="1058"/>
      <c r="K98" s="1004"/>
      <c r="L98" s="1004"/>
      <c r="M98" s="1004"/>
      <c r="N98" s="1004"/>
      <c r="O98" s="1004"/>
      <c r="P98" s="1004"/>
      <c r="Q98" s="1004"/>
      <c r="R98" s="1004"/>
      <c r="S98" s="1004"/>
      <c r="T98" s="1004"/>
    </row>
    <row r="99" spans="1:25" x14ac:dyDescent="0.2">
      <c r="B99" s="1016"/>
      <c r="C99" s="1016"/>
      <c r="D99" s="1016"/>
      <c r="E99" s="1016"/>
      <c r="F99" s="1016"/>
      <c r="G99" s="1016"/>
      <c r="H99" s="1016"/>
      <c r="I99" s="1016"/>
      <c r="J99" s="1016"/>
      <c r="K99" s="996"/>
      <c r="L99" s="996"/>
      <c r="M99" s="996"/>
      <c r="N99" s="996"/>
      <c r="O99" s="996"/>
      <c r="P99" s="996"/>
      <c r="Q99" s="996"/>
      <c r="R99" s="996"/>
      <c r="S99" s="996"/>
      <c r="T99" s="996"/>
    </row>
    <row r="100" spans="1:25" x14ac:dyDescent="0.2">
      <c r="B100" s="2870" t="s">
        <v>351</v>
      </c>
      <c r="C100" s="2871"/>
      <c r="D100" s="996"/>
      <c r="E100" s="2874" t="s">
        <v>296</v>
      </c>
      <c r="F100" s="2875"/>
      <c r="G100" s="996"/>
      <c r="H100" s="2874" t="s">
        <v>297</v>
      </c>
      <c r="I100" s="2875"/>
      <c r="J100" s="996"/>
      <c r="K100" s="2878" t="s">
        <v>298</v>
      </c>
      <c r="L100" s="2879"/>
      <c r="M100" s="996"/>
      <c r="N100" s="996"/>
      <c r="O100" s="996"/>
      <c r="P100" s="996"/>
      <c r="Q100" s="996"/>
      <c r="R100" s="996"/>
      <c r="S100" s="996"/>
      <c r="T100" s="996"/>
    </row>
    <row r="101" spans="1:25" x14ac:dyDescent="0.2">
      <c r="B101" s="2872"/>
      <c r="C101" s="2873"/>
      <c r="D101" s="996"/>
      <c r="E101" s="2876"/>
      <c r="F101" s="2877"/>
      <c r="G101" s="996"/>
      <c r="H101" s="2876"/>
      <c r="I101" s="2877"/>
      <c r="J101" s="996"/>
      <c r="K101" s="2880"/>
      <c r="L101" s="2881"/>
      <c r="M101" s="996"/>
      <c r="N101" s="996"/>
      <c r="O101" s="996"/>
      <c r="P101" s="996"/>
      <c r="Q101" s="996"/>
      <c r="R101" s="996"/>
      <c r="S101" s="996"/>
      <c r="T101" s="996"/>
    </row>
    <row r="102" spans="1:25" x14ac:dyDescent="0.2">
      <c r="B102" s="1006" t="s">
        <v>299</v>
      </c>
      <c r="C102" s="1007"/>
      <c r="D102" s="996"/>
      <c r="E102" s="1006" t="s">
        <v>300</v>
      </c>
      <c r="F102" s="1007" t="e">
        <f ca="1">ROUNDUP(C110/2,0)</f>
        <v>#NAME?</v>
      </c>
      <c r="G102" s="996"/>
      <c r="H102" s="1006" t="s">
        <v>301</v>
      </c>
      <c r="I102" s="1635" t="e">
        <f ca="1">SUM(S116:S130)*'Scrap + Defect'!F39</f>
        <v>#NAME?</v>
      </c>
      <c r="J102" s="996"/>
      <c r="K102" s="1020" t="s">
        <v>302</v>
      </c>
      <c r="L102" s="1992">
        <f>'General Assumptions'!C25</f>
        <v>1140</v>
      </c>
      <c r="M102" s="996"/>
      <c r="N102" s="996"/>
      <c r="O102" s="996"/>
      <c r="P102" s="996"/>
      <c r="Q102" s="996"/>
      <c r="R102" s="996"/>
      <c r="S102" s="996"/>
      <c r="T102" s="996"/>
    </row>
    <row r="103" spans="1:25" x14ac:dyDescent="0.2">
      <c r="B103" s="1006" t="s">
        <v>303</v>
      </c>
      <c r="C103" s="1007" t="e">
        <f ca="1">'BASES MODEL (Base Case)'!E37</f>
        <v>#NAME?</v>
      </c>
      <c r="D103" s="996"/>
      <c r="E103" s="1006" t="s">
        <v>304</v>
      </c>
      <c r="F103" s="1055" t="e">
        <f ca="1">ROUNDUP($I$112*C111*SQRT('General Assumptions'!$C$21),0)</f>
        <v>#NAME?</v>
      </c>
      <c r="G103" s="996"/>
      <c r="H103" s="1006" t="s">
        <v>305</v>
      </c>
      <c r="I103" s="1635" t="e">
        <f ca="1">F109*(SUMPRODUCT(C116:C130,D116:D130)+$C106)/2</f>
        <v>#NAME?</v>
      </c>
      <c r="J103" s="996"/>
      <c r="K103" s="997" t="s">
        <v>306</v>
      </c>
      <c r="L103" s="1022" t="e">
        <f ca="1">'General Assumptions'!$C$20*C106</f>
        <v>#NAME?</v>
      </c>
      <c r="M103" s="996"/>
      <c r="N103" s="996"/>
      <c r="O103" s="996"/>
      <c r="P103" s="996"/>
      <c r="Q103" s="996"/>
      <c r="R103" s="996"/>
      <c r="S103" s="996"/>
      <c r="T103" s="996"/>
    </row>
    <row r="104" spans="1:25" x14ac:dyDescent="0.2">
      <c r="B104" s="1006" t="s">
        <v>307</v>
      </c>
      <c r="C104" s="1007" t="e">
        <f ca="1">0.5*C103</f>
        <v>#NAME?</v>
      </c>
      <c r="D104" s="996"/>
      <c r="E104" s="1009" t="s">
        <v>308</v>
      </c>
      <c r="F104" s="1011" t="e">
        <f ca="1">F103-F102</f>
        <v>#NAME?</v>
      </c>
      <c r="G104" s="996"/>
      <c r="H104" s="1006" t="s">
        <v>309</v>
      </c>
      <c r="I104" s="1635" t="e">
        <f ca="1">F105*$C106</f>
        <v>#NAME?</v>
      </c>
      <c r="J104" s="996"/>
      <c r="K104" s="1001" t="s">
        <v>310</v>
      </c>
      <c r="L104" s="1991" t="e">
        <f ca="1">C103</f>
        <v>#NAME?</v>
      </c>
      <c r="M104" s="996"/>
      <c r="N104" s="996"/>
      <c r="O104" s="996"/>
      <c r="P104" s="996"/>
      <c r="Q104" s="996"/>
      <c r="R104" s="996"/>
      <c r="S104" s="996"/>
      <c r="T104" s="996"/>
    </row>
    <row r="105" spans="1:25" x14ac:dyDescent="0.2">
      <c r="B105" s="1006" t="s">
        <v>311</v>
      </c>
      <c r="C105" s="1007" t="e">
        <f ca="1">2*C103</f>
        <v>#NAME?</v>
      </c>
      <c r="D105" s="996"/>
      <c r="E105" s="2033" t="s">
        <v>312</v>
      </c>
      <c r="F105" s="2025" t="e">
        <f ca="1">SUM(F102:F104)</f>
        <v>#NAME?</v>
      </c>
      <c r="G105" s="996"/>
      <c r="H105" s="2032" t="s">
        <v>128</v>
      </c>
      <c r="I105" s="2031" t="e">
        <f ca="1">SUM(I102:I104)</f>
        <v>#NAME?</v>
      </c>
      <c r="J105" s="996"/>
      <c r="K105" s="999"/>
      <c r="L105" s="1000"/>
      <c r="M105" s="996"/>
      <c r="N105" s="996"/>
      <c r="O105" s="996"/>
      <c r="P105" s="996"/>
      <c r="Q105" s="996"/>
      <c r="R105" s="996"/>
      <c r="S105" s="996"/>
      <c r="T105" s="996"/>
    </row>
    <row r="106" spans="1:25" x14ac:dyDescent="0.2">
      <c r="B106" s="1015" t="s">
        <v>313</v>
      </c>
      <c r="C106" s="1019" t="e">
        <f ca="1">$N$28+'FE Assumptions'!F45+'FE Assumptions'!F48/'BASES MODEL (Base Case)'!E37</f>
        <v>#NAME?</v>
      </c>
      <c r="D106" s="996"/>
      <c r="E106" s="996"/>
      <c r="F106" s="996"/>
      <c r="G106" s="996"/>
      <c r="H106" s="1016"/>
      <c r="I106" s="1016"/>
      <c r="J106" s="996"/>
      <c r="K106" s="996"/>
      <c r="L106" s="996"/>
      <c r="M106" s="996"/>
      <c r="N106" s="996"/>
      <c r="O106" s="996"/>
      <c r="P106" s="996"/>
      <c r="Q106" s="996"/>
      <c r="R106" s="996"/>
      <c r="S106" s="996"/>
      <c r="T106" s="996"/>
    </row>
    <row r="107" spans="1:25" x14ac:dyDescent="0.2">
      <c r="B107" s="1006" t="s">
        <v>314</v>
      </c>
      <c r="C107" s="1007" t="e">
        <f ca="1">ROUNDUP((4*C103+C104+C105)/6,0)</f>
        <v>#NAME?</v>
      </c>
      <c r="D107" s="996"/>
      <c r="E107" s="2874" t="s">
        <v>315</v>
      </c>
      <c r="F107" s="2875"/>
      <c r="G107" s="996"/>
      <c r="H107" s="2874" t="s">
        <v>316</v>
      </c>
      <c r="I107" s="2875"/>
      <c r="J107" s="996"/>
      <c r="K107" s="996"/>
      <c r="L107" s="996"/>
      <c r="M107" s="996"/>
      <c r="N107" s="996"/>
      <c r="O107" s="996"/>
      <c r="P107" s="996"/>
      <c r="Q107" s="996"/>
      <c r="R107" s="996"/>
      <c r="S107" s="996"/>
      <c r="T107" s="996"/>
    </row>
    <row r="108" spans="1:25" x14ac:dyDescent="0.2">
      <c r="B108" s="1006" t="s">
        <v>317</v>
      </c>
      <c r="C108" s="1017" t="e">
        <f ca="1">(C105-C104)/6</f>
        <v>#NAME?</v>
      </c>
      <c r="D108" s="996"/>
      <c r="E108" s="2876"/>
      <c r="F108" s="2877"/>
      <c r="G108" s="996"/>
      <c r="H108" s="2876"/>
      <c r="I108" s="2877"/>
      <c r="J108" s="996"/>
      <c r="K108" s="996"/>
      <c r="L108" s="996"/>
      <c r="M108" s="996"/>
      <c r="N108" s="996"/>
      <c r="O108" s="996"/>
      <c r="P108" s="996"/>
      <c r="Q108" s="996"/>
      <c r="R108" s="996"/>
      <c r="S108" s="996"/>
      <c r="T108" s="996"/>
    </row>
    <row r="109" spans="1:25" x14ac:dyDescent="0.2">
      <c r="B109" s="1018" t="s">
        <v>318</v>
      </c>
      <c r="C109" s="1019">
        <f>'Avg.Weighted Manufacturer Price'!F25</f>
        <v>77.474995001098407</v>
      </c>
      <c r="D109" s="996"/>
      <c r="E109" s="1012" t="s">
        <v>319</v>
      </c>
      <c r="F109" s="1013" t="e">
        <f ca="1">C110*'General Assumptions'!$C$21</f>
        <v>#NAME?</v>
      </c>
      <c r="G109" s="996"/>
      <c r="H109" s="1009" t="s">
        <v>320</v>
      </c>
      <c r="I109" s="1010" t="e">
        <f ca="1">C106*'General Assumptions'!$C$20/6</f>
        <v>#NAME?</v>
      </c>
      <c r="J109" s="996"/>
      <c r="K109" s="996"/>
      <c r="L109" s="996"/>
      <c r="M109" s="996"/>
      <c r="N109" s="996"/>
      <c r="O109" s="996"/>
      <c r="P109" s="996"/>
      <c r="Q109" s="996"/>
      <c r="R109" s="996"/>
      <c r="S109" s="996"/>
      <c r="T109" s="996"/>
    </row>
    <row r="110" spans="1:25" x14ac:dyDescent="0.2">
      <c r="B110" s="1006" t="s">
        <v>321</v>
      </c>
      <c r="C110" s="1007" t="e">
        <f ca="1">ROUNDUP(C107/'General Assumptions'!$C$19,0)</f>
        <v>#NAME?</v>
      </c>
      <c r="D110" s="996"/>
      <c r="E110" s="1016"/>
      <c r="F110" s="1016"/>
      <c r="G110" s="996"/>
      <c r="H110" s="1006" t="s">
        <v>322</v>
      </c>
      <c r="I110" s="1059" t="e">
        <f ca="1">C109-C106</f>
        <v>#NAME?</v>
      </c>
      <c r="J110" s="996"/>
      <c r="K110" s="996"/>
      <c r="L110" s="996"/>
      <c r="M110" s="996"/>
      <c r="N110" s="996"/>
      <c r="O110" s="996"/>
      <c r="P110" s="996"/>
      <c r="Q110" s="996"/>
      <c r="R110" s="996"/>
      <c r="S110" s="996"/>
      <c r="T110" s="996"/>
      <c r="W110" s="776"/>
      <c r="X110" s="776"/>
      <c r="Y110" s="776"/>
    </row>
    <row r="111" spans="1:25" x14ac:dyDescent="0.2">
      <c r="B111" s="1012" t="s">
        <v>323</v>
      </c>
      <c r="C111" s="1023" t="e">
        <f ca="1">C108/SQRT('General Assumptions'!$C$19)</f>
        <v>#NAME?</v>
      </c>
      <c r="D111" s="996"/>
      <c r="E111" s="1016"/>
      <c r="F111" s="1016"/>
      <c r="G111" s="996"/>
      <c r="H111" s="1006" t="s">
        <v>316</v>
      </c>
      <c r="I111" s="1056" t="e">
        <f ca="1">I110/(I110+I109)</f>
        <v>#NAME?</v>
      </c>
      <c r="J111" s="996"/>
      <c r="K111" s="996"/>
      <c r="L111" s="996"/>
      <c r="M111" s="996"/>
      <c r="N111" s="996"/>
      <c r="O111" s="996"/>
      <c r="P111" s="996"/>
      <c r="Q111" s="996"/>
      <c r="R111" s="996"/>
      <c r="S111" s="996"/>
      <c r="T111" s="996"/>
      <c r="W111" s="776"/>
      <c r="X111" s="776"/>
      <c r="Y111" s="776"/>
    </row>
    <row r="112" spans="1:25" x14ac:dyDescent="0.2">
      <c r="B112" s="1016"/>
      <c r="C112" s="1016"/>
      <c r="D112" s="996"/>
      <c r="E112" s="1016"/>
      <c r="F112" s="1016"/>
      <c r="G112" s="996"/>
      <c r="H112" s="1012" t="s">
        <v>324</v>
      </c>
      <c r="I112" s="1023" t="e">
        <f ca="1">NORMSINV(I111)</f>
        <v>#NAME?</v>
      </c>
      <c r="J112" s="996"/>
      <c r="K112" s="996"/>
      <c r="L112" s="996"/>
      <c r="M112" s="996"/>
      <c r="N112" s="996"/>
      <c r="O112" s="996"/>
      <c r="P112" s="996"/>
      <c r="Q112" s="996"/>
      <c r="R112" s="996"/>
      <c r="S112" s="996"/>
      <c r="T112" s="996"/>
      <c r="W112" s="776"/>
      <c r="X112" s="776"/>
      <c r="Y112" s="776"/>
    </row>
    <row r="113" spans="2:25" x14ac:dyDescent="0.2">
      <c r="B113" s="1016"/>
      <c r="C113" s="1016"/>
      <c r="D113" s="996"/>
      <c r="E113" s="1057"/>
      <c r="F113" s="996"/>
      <c r="G113" s="996"/>
      <c r="H113" s="996"/>
      <c r="I113" s="996"/>
      <c r="J113" s="996"/>
      <c r="K113" s="996"/>
      <c r="L113" s="996"/>
      <c r="M113" s="996"/>
      <c r="N113" s="996"/>
      <c r="O113" s="996"/>
      <c r="P113" s="996"/>
      <c r="Q113" s="996"/>
      <c r="R113" s="996"/>
      <c r="S113" s="996"/>
      <c r="T113" s="996"/>
      <c r="W113" s="776"/>
      <c r="X113" s="776"/>
      <c r="Y113" s="776"/>
    </row>
    <row r="114" spans="2:25" x14ac:dyDescent="0.2">
      <c r="B114" s="2038" t="s">
        <v>351</v>
      </c>
      <c r="C114" s="1027"/>
      <c r="D114" s="1027"/>
      <c r="E114" s="1027"/>
      <c r="F114" s="1027"/>
      <c r="G114" s="1027"/>
      <c r="H114" s="1027"/>
      <c r="I114" s="1027"/>
      <c r="J114" s="1027"/>
      <c r="K114" s="1027"/>
      <c r="L114" s="1027"/>
      <c r="M114" s="1027"/>
      <c r="N114" s="1027"/>
      <c r="O114" s="1027"/>
      <c r="P114" s="1027"/>
      <c r="Q114" s="1027"/>
      <c r="R114" s="1027"/>
      <c r="S114" s="1027"/>
      <c r="T114" s="1027"/>
      <c r="U114" s="791"/>
      <c r="W114" s="776"/>
      <c r="X114" s="776"/>
      <c r="Y114" s="776"/>
    </row>
    <row r="115" spans="2:25" ht="48" x14ac:dyDescent="0.2">
      <c r="B115" s="1078" t="s">
        <v>325</v>
      </c>
      <c r="C115" s="1077" t="s">
        <v>326</v>
      </c>
      <c r="D115" s="1075" t="s">
        <v>327</v>
      </c>
      <c r="E115" s="1075" t="s">
        <v>328</v>
      </c>
      <c r="F115" s="1075" t="s">
        <v>329</v>
      </c>
      <c r="G115" s="1075" t="s">
        <v>330</v>
      </c>
      <c r="H115" s="1075" t="s">
        <v>331</v>
      </c>
      <c r="I115" s="1075" t="s">
        <v>332</v>
      </c>
      <c r="J115" s="1075" t="s">
        <v>333</v>
      </c>
      <c r="K115" s="1075" t="s">
        <v>334</v>
      </c>
      <c r="L115" s="1075" t="s">
        <v>335</v>
      </c>
      <c r="M115" s="1075" t="s">
        <v>336</v>
      </c>
      <c r="N115" s="1075" t="s">
        <v>337</v>
      </c>
      <c r="O115" s="1075" t="s">
        <v>300</v>
      </c>
      <c r="P115" s="1075" t="s">
        <v>304</v>
      </c>
      <c r="Q115" s="1075" t="s">
        <v>338</v>
      </c>
      <c r="R115" s="1075" t="s">
        <v>339</v>
      </c>
      <c r="S115" s="1075" t="s">
        <v>340</v>
      </c>
      <c r="T115" s="1075" t="s">
        <v>341</v>
      </c>
      <c r="U115" s="1076" t="s">
        <v>342</v>
      </c>
      <c r="W115" s="1028"/>
      <c r="X115" s="776"/>
      <c r="Y115" s="776"/>
    </row>
    <row r="116" spans="2:25" x14ac:dyDescent="0.2">
      <c r="B116" s="1035" t="s">
        <v>238</v>
      </c>
      <c r="C116" s="1029">
        <f>$H$13</f>
        <v>0.25</v>
      </c>
      <c r="D116" s="1030">
        <f>$L$13</f>
        <v>1</v>
      </c>
      <c r="E116" s="1029" t="e">
        <f ca="1">M$13</f>
        <v>#NAME?</v>
      </c>
      <c r="F116" s="1031" t="e">
        <f ca="1">ROUNDUP(D116*$C$110,0)</f>
        <v>#NAME?</v>
      </c>
      <c r="G116" s="1027" t="e">
        <f t="shared" ref="G116:G130" ca="1" si="26">D116*$C$111</f>
        <v>#NAME?</v>
      </c>
      <c r="H116" s="1027">
        <f>'General Assumptions'!$C$23/'General Assumptions'!$C$22</f>
        <v>4.2857142857142856</v>
      </c>
      <c r="I116" s="1027">
        <f>0.8*H116</f>
        <v>3.4285714285714288</v>
      </c>
      <c r="J116" s="1027">
        <f>2*H116</f>
        <v>8.5714285714285712</v>
      </c>
      <c r="K116" s="1027">
        <f>(I116+4*H116+J116)/6</f>
        <v>4.8571428571428568</v>
      </c>
      <c r="L116" s="1027">
        <f>(J116-I116)/6</f>
        <v>0.8571428571428571</v>
      </c>
      <c r="M116" s="1027">
        <f>'General Assumptions'!$C$24/'General Assumptions'!$C$22</f>
        <v>0.5714285714285714</v>
      </c>
      <c r="N116" s="1032" t="e">
        <f ca="1">ROUNDUP(SQRT((2*F116*'General Assumptions'!$C$19*'General Assumptions'!$C$25)/(C116*'General Assumptions'!$C$20)),0)</f>
        <v>#NAME?</v>
      </c>
      <c r="O116" s="1033" t="e">
        <f ca="1">ROUNDUP(N116/2,0)</f>
        <v>#NAME?</v>
      </c>
      <c r="P116" s="1033" t="e">
        <f ca="1">ROUNDUP($I$112*SQRT((I116*G116^2)+(F116^2)*(L116^2)),0)</f>
        <v>#NAME?</v>
      </c>
      <c r="Q116" s="1032" t="e">
        <f ca="1">ROUNDUP(F116*M116,0)</f>
        <v>#NAME?</v>
      </c>
      <c r="R116" s="1033" t="e">
        <f ca="1">SUM(O116:Q116)</f>
        <v>#NAME?</v>
      </c>
      <c r="S116" s="1994" t="e">
        <f ca="1">R116*C116</f>
        <v>#NAME?</v>
      </c>
      <c r="T116" s="1995" t="e">
        <f ca="1">ROUNDUP(SQRT((2*('General Assumptions'!$C$19*F116)*'General Assumptions'!$C$25)/$L$103),0)</f>
        <v>#NAME?</v>
      </c>
      <c r="U116" s="1996" t="e">
        <f ca="1">ROUNDUP((F116*'General Assumptions'!$C$19)/T116,0)</f>
        <v>#NAME?</v>
      </c>
      <c r="W116" s="1060"/>
      <c r="X116" s="776"/>
      <c r="Y116" s="776"/>
    </row>
    <row r="117" spans="2:25" x14ac:dyDescent="0.2">
      <c r="B117" s="1035" t="s">
        <v>243</v>
      </c>
      <c r="C117" s="1029">
        <f>$H$14</f>
        <v>8.0000000000000002E-3</v>
      </c>
      <c r="D117" s="1030">
        <f>$L$14</f>
        <v>1</v>
      </c>
      <c r="E117" s="1029" t="e">
        <f ca="1">M$14</f>
        <v>#NAME?</v>
      </c>
      <c r="F117" s="1031" t="e">
        <f t="shared" ref="F117:F129" ca="1" si="27">ROUNDUP(D117*$C$110,0)</f>
        <v>#NAME?</v>
      </c>
      <c r="G117" s="1027" t="e">
        <f ca="1">D117*$C$111</f>
        <v>#NAME?</v>
      </c>
      <c r="H117" s="1027">
        <f>'General Assumptions'!$C$23/'General Assumptions'!$C$22</f>
        <v>4.2857142857142856</v>
      </c>
      <c r="I117" s="1027">
        <f>0.8*H117</f>
        <v>3.4285714285714288</v>
      </c>
      <c r="J117" s="1027">
        <f>2*H117</f>
        <v>8.5714285714285712</v>
      </c>
      <c r="K117" s="1027">
        <f>(I117+4*H117+J117)/6</f>
        <v>4.8571428571428568</v>
      </c>
      <c r="L117" s="1027">
        <f>(J117-I117)/6</f>
        <v>0.8571428571428571</v>
      </c>
      <c r="M117" s="1027">
        <f>'General Assumptions'!$C$24/'General Assumptions'!$C$22</f>
        <v>0.5714285714285714</v>
      </c>
      <c r="N117" s="1032" t="e">
        <f ca="1">ROUNDUP(SQRT((2*F117*'General Assumptions'!$C$19*'General Assumptions'!$C$25)/(C117*'General Assumptions'!$C$20)),0)</f>
        <v>#NAME?</v>
      </c>
      <c r="O117" s="1033" t="e">
        <f t="shared" ref="O117:O130" ca="1" si="28">ROUNDUP(N117/2,0)</f>
        <v>#NAME?</v>
      </c>
      <c r="P117" s="1033" t="e">
        <f t="shared" ref="P117:P130" ca="1" si="29">ROUNDUP($I$112*SQRT((I117*G117^2)+(F117^2)*(L117^2)),0)</f>
        <v>#NAME?</v>
      </c>
      <c r="Q117" s="1032" t="e">
        <f t="shared" ref="Q117:Q130" ca="1" si="30">ROUNDUP(F117*M117,0)</f>
        <v>#NAME?</v>
      </c>
      <c r="R117" s="1033" t="e">
        <f ca="1">SUM(O117:Q117)</f>
        <v>#NAME?</v>
      </c>
      <c r="S117" s="1994" t="e">
        <f ca="1">R117*C117</f>
        <v>#NAME?</v>
      </c>
      <c r="T117" s="1995" t="e">
        <f ca="1">ROUNDUP(SQRT((2*('General Assumptions'!$C$19*F117)*'General Assumptions'!$C$25)/$L$103),0)</f>
        <v>#NAME?</v>
      </c>
      <c r="U117" s="1996" t="e">
        <f ca="1">ROUNDUP((F117*'General Assumptions'!$C$19)/T117,0)</f>
        <v>#NAME?</v>
      </c>
      <c r="W117" s="1060"/>
      <c r="X117" s="776"/>
      <c r="Y117" s="776"/>
    </row>
    <row r="118" spans="2:25" x14ac:dyDescent="0.2">
      <c r="B118" s="1036" t="s">
        <v>247</v>
      </c>
      <c r="C118" s="1029">
        <f>$H$15</f>
        <v>0.4</v>
      </c>
      <c r="D118" s="1030">
        <f>$L$15</f>
        <v>4</v>
      </c>
      <c r="E118" s="1029" t="e">
        <f ca="1">M$15</f>
        <v>#NAME?</v>
      </c>
      <c r="F118" s="1031" t="e">
        <f t="shared" ca="1" si="27"/>
        <v>#NAME?</v>
      </c>
      <c r="G118" s="1027" t="e">
        <f t="shared" ca="1" si="26"/>
        <v>#NAME?</v>
      </c>
      <c r="H118" s="1027">
        <f>'General Assumptions'!$C$23/'General Assumptions'!$C$22</f>
        <v>4.2857142857142856</v>
      </c>
      <c r="I118" s="1027">
        <f>0.8*H118</f>
        <v>3.4285714285714288</v>
      </c>
      <c r="J118" s="1027">
        <f>2*H118</f>
        <v>8.5714285714285712</v>
      </c>
      <c r="K118" s="1027">
        <f>(I118+4*H118+J118)/6</f>
        <v>4.8571428571428568</v>
      </c>
      <c r="L118" s="1027">
        <f>(J118-I118)/6</f>
        <v>0.8571428571428571</v>
      </c>
      <c r="M118" s="1027">
        <f>'General Assumptions'!$C$24/'General Assumptions'!$C$22</f>
        <v>0.5714285714285714</v>
      </c>
      <c r="N118" s="1032" t="e">
        <f ca="1">ROUNDUP(SQRT((2*F118*'General Assumptions'!$C$19*'General Assumptions'!$C$25)/(C118*'General Assumptions'!$C$20)),0)</f>
        <v>#NAME?</v>
      </c>
      <c r="O118" s="1033" t="e">
        <f t="shared" ca="1" si="28"/>
        <v>#NAME?</v>
      </c>
      <c r="P118" s="1033" t="e">
        <f t="shared" ca="1" si="29"/>
        <v>#NAME?</v>
      </c>
      <c r="Q118" s="1032" t="e">
        <f t="shared" ca="1" si="30"/>
        <v>#NAME?</v>
      </c>
      <c r="R118" s="1033" t="e">
        <f ca="1">SUM(O118:Q118)</f>
        <v>#NAME?</v>
      </c>
      <c r="S118" s="1994" t="e">
        <f t="shared" ref="S118:S130" ca="1" si="31">R118*C118</f>
        <v>#NAME?</v>
      </c>
      <c r="T118" s="1995" t="e">
        <f ca="1">ROUNDUP(SQRT((2*('General Assumptions'!$C$19*F118)*'General Assumptions'!$C$25)/$L$103),0)</f>
        <v>#NAME?</v>
      </c>
      <c r="U118" s="1996" t="e">
        <f ca="1">ROUNDUP((F118*'General Assumptions'!$C$19)/T118,0)</f>
        <v>#NAME?</v>
      </c>
      <c r="W118" s="1034"/>
    </row>
    <row r="119" spans="2:25" x14ac:dyDescent="0.2">
      <c r="B119" s="1036" t="s">
        <v>343</v>
      </c>
      <c r="C119" s="1029">
        <f>$H$16</f>
        <v>6.75</v>
      </c>
      <c r="D119" s="1030">
        <f>$L$16</f>
        <v>0.57253801085568334</v>
      </c>
      <c r="E119" s="1029" t="e">
        <f ca="1">M$16</f>
        <v>#NAME?</v>
      </c>
      <c r="F119" s="1031" t="e">
        <f t="shared" ca="1" si="27"/>
        <v>#NAME?</v>
      </c>
      <c r="G119" s="1027" t="e">
        <f t="shared" ca="1" si="26"/>
        <v>#NAME?</v>
      </c>
      <c r="H119" s="1027">
        <f>'General Assumptions'!$C$24/'General Assumptions'!$C$22</f>
        <v>0.5714285714285714</v>
      </c>
      <c r="I119" s="1027">
        <f t="shared" ref="I119:I130" si="32">0.8*H119</f>
        <v>0.45714285714285713</v>
      </c>
      <c r="J119" s="1027">
        <f t="shared" ref="J119:J130" si="33">2*H119</f>
        <v>1.1428571428571428</v>
      </c>
      <c r="K119" s="1027">
        <f t="shared" ref="K119:K130" si="34">(I119+4*H119+J119)/6</f>
        <v>0.64761904761904765</v>
      </c>
      <c r="L119" s="1027">
        <f t="shared" ref="L119:L130" si="35">(J119-I119)/6</f>
        <v>0.11428571428571428</v>
      </c>
      <c r="M119" s="1027">
        <f>'General Assumptions'!$C$24/'General Assumptions'!$C$22</f>
        <v>0.5714285714285714</v>
      </c>
      <c r="N119" s="1032" t="e">
        <f ca="1">ROUNDUP(SQRT((2*F119*'General Assumptions'!$C$19*'General Assumptions'!$C$25)/(C119*'General Assumptions'!$C$20)),0)</f>
        <v>#NAME?</v>
      </c>
      <c r="O119" s="1033" t="e">
        <f t="shared" ca="1" si="28"/>
        <v>#NAME?</v>
      </c>
      <c r="P119" s="1033" t="e">
        <f t="shared" ca="1" si="29"/>
        <v>#NAME?</v>
      </c>
      <c r="Q119" s="1032" t="e">
        <f t="shared" ca="1" si="30"/>
        <v>#NAME?</v>
      </c>
      <c r="R119" s="1033" t="e">
        <f t="shared" ref="R119:R130" ca="1" si="36">SUM(O119:Q119)</f>
        <v>#NAME?</v>
      </c>
      <c r="S119" s="1994" t="e">
        <f t="shared" ca="1" si="31"/>
        <v>#NAME?</v>
      </c>
      <c r="T119" s="1995" t="e">
        <f ca="1">ROUNDUP(SQRT((2*('General Assumptions'!$C$19*F119)*'General Assumptions'!$C$25)/$L$103),0)</f>
        <v>#NAME?</v>
      </c>
      <c r="U119" s="1996" t="e">
        <f ca="1">ROUNDUP((F119*'General Assumptions'!$C$19)/T119,0)</f>
        <v>#NAME?</v>
      </c>
      <c r="W119" s="1034"/>
    </row>
    <row r="120" spans="2:25" x14ac:dyDescent="0.2">
      <c r="B120" s="1038" t="s">
        <v>255</v>
      </c>
      <c r="C120" s="1029">
        <f>$H$17</f>
        <v>4</v>
      </c>
      <c r="D120" s="1030">
        <f>$L$17</f>
        <v>1</v>
      </c>
      <c r="E120" s="1029" t="e">
        <f ca="1">M$17</f>
        <v>#NAME?</v>
      </c>
      <c r="F120" s="1031" t="e">
        <f t="shared" ca="1" si="27"/>
        <v>#NAME?</v>
      </c>
      <c r="G120" s="1027" t="e">
        <f t="shared" ca="1" si="26"/>
        <v>#NAME?</v>
      </c>
      <c r="H120" s="1027">
        <f>'General Assumptions'!$C$23/'General Assumptions'!$C$22</f>
        <v>4.2857142857142856</v>
      </c>
      <c r="I120" s="1027">
        <f t="shared" si="32"/>
        <v>3.4285714285714288</v>
      </c>
      <c r="J120" s="1027">
        <f t="shared" si="33"/>
        <v>8.5714285714285712</v>
      </c>
      <c r="K120" s="1027">
        <f t="shared" si="34"/>
        <v>4.8571428571428568</v>
      </c>
      <c r="L120" s="1027">
        <f t="shared" si="35"/>
        <v>0.8571428571428571</v>
      </c>
      <c r="M120" s="1027">
        <f>'General Assumptions'!$C$24/'General Assumptions'!$C$22</f>
        <v>0.5714285714285714</v>
      </c>
      <c r="N120" s="1032" t="e">
        <f ca="1">ROUNDUP(SQRT((2*F120*'General Assumptions'!$C$19*'General Assumptions'!$C$25)/(C120*'General Assumptions'!$C$20)),0)</f>
        <v>#NAME?</v>
      </c>
      <c r="O120" s="1033" t="e">
        <f t="shared" ca="1" si="28"/>
        <v>#NAME?</v>
      </c>
      <c r="P120" s="1033" t="e">
        <f t="shared" ca="1" si="29"/>
        <v>#NAME?</v>
      </c>
      <c r="Q120" s="1032" t="e">
        <f t="shared" ca="1" si="30"/>
        <v>#NAME?</v>
      </c>
      <c r="R120" s="1033" t="e">
        <f t="shared" ca="1" si="36"/>
        <v>#NAME?</v>
      </c>
      <c r="S120" s="1994" t="e">
        <f t="shared" ca="1" si="31"/>
        <v>#NAME?</v>
      </c>
      <c r="T120" s="1995" t="e">
        <f ca="1">ROUNDUP(SQRT((2*('General Assumptions'!$C$19*F120)*'General Assumptions'!$C$25)/$L$103),0)</f>
        <v>#NAME?</v>
      </c>
      <c r="U120" s="1996" t="e">
        <f ca="1">ROUNDUP((F120*'General Assumptions'!$C$19)/T120,0)</f>
        <v>#NAME?</v>
      </c>
      <c r="W120" s="1034"/>
    </row>
    <row r="121" spans="2:25" x14ac:dyDescent="0.2">
      <c r="B121" s="1036" t="s">
        <v>258</v>
      </c>
      <c r="C121" s="1029">
        <f>$H$18</f>
        <v>4.5</v>
      </c>
      <c r="D121" s="1030">
        <f>$L$18</f>
        <v>1</v>
      </c>
      <c r="E121" s="1029" t="e">
        <f ca="1">M$18</f>
        <v>#NAME?</v>
      </c>
      <c r="F121" s="1031" t="e">
        <f t="shared" ca="1" si="27"/>
        <v>#NAME?</v>
      </c>
      <c r="G121" s="1027" t="e">
        <f t="shared" ca="1" si="26"/>
        <v>#NAME?</v>
      </c>
      <c r="H121" s="1027">
        <f>'General Assumptions'!$C$23/'General Assumptions'!$C$22</f>
        <v>4.2857142857142856</v>
      </c>
      <c r="I121" s="1027">
        <f t="shared" si="32"/>
        <v>3.4285714285714288</v>
      </c>
      <c r="J121" s="1027">
        <f t="shared" si="33"/>
        <v>8.5714285714285712</v>
      </c>
      <c r="K121" s="1027">
        <f t="shared" si="34"/>
        <v>4.8571428571428568</v>
      </c>
      <c r="L121" s="1027">
        <f t="shared" si="35"/>
        <v>0.8571428571428571</v>
      </c>
      <c r="M121" s="1027">
        <f>'General Assumptions'!$C$24/'General Assumptions'!$C$22</f>
        <v>0.5714285714285714</v>
      </c>
      <c r="N121" s="1032" t="e">
        <f ca="1">ROUNDUP(SQRT((2*F121*'General Assumptions'!$C$19*'General Assumptions'!$C$25)/(C121*'General Assumptions'!$C$20)),0)</f>
        <v>#NAME?</v>
      </c>
      <c r="O121" s="1033" t="e">
        <f t="shared" ca="1" si="28"/>
        <v>#NAME?</v>
      </c>
      <c r="P121" s="1033" t="e">
        <f t="shared" ca="1" si="29"/>
        <v>#NAME?</v>
      </c>
      <c r="Q121" s="1032" t="e">
        <f t="shared" ca="1" si="30"/>
        <v>#NAME?</v>
      </c>
      <c r="R121" s="1033" t="e">
        <f t="shared" ca="1" si="36"/>
        <v>#NAME?</v>
      </c>
      <c r="S121" s="1994" t="e">
        <f t="shared" ca="1" si="31"/>
        <v>#NAME?</v>
      </c>
      <c r="T121" s="1995" t="e">
        <f ca="1">ROUNDUP(SQRT((2*('General Assumptions'!$C$19*F121)*'General Assumptions'!$C$25)/$L$103),0)</f>
        <v>#NAME?</v>
      </c>
      <c r="U121" s="1996" t="e">
        <f ca="1">ROUNDUP((F121*'General Assumptions'!$C$19)/T121,0)</f>
        <v>#NAME?</v>
      </c>
      <c r="W121" s="1034"/>
    </row>
    <row r="122" spans="2:25" x14ac:dyDescent="0.2">
      <c r="B122" s="1038" t="s">
        <v>262</v>
      </c>
      <c r="C122" s="1029">
        <f>$H$19</f>
        <v>5.8</v>
      </c>
      <c r="D122" s="1030">
        <f>$L$19</f>
        <v>2.5252525252525255E-3</v>
      </c>
      <c r="E122" s="1029" t="e">
        <f ca="1">M$19</f>
        <v>#NAME?</v>
      </c>
      <c r="F122" s="1031" t="e">
        <f t="shared" ca="1" si="27"/>
        <v>#NAME?</v>
      </c>
      <c r="G122" s="1027" t="e">
        <f t="shared" ca="1" si="26"/>
        <v>#NAME?</v>
      </c>
      <c r="H122" s="1027">
        <f>'General Assumptions'!$C$23/'General Assumptions'!$C$22</f>
        <v>4.2857142857142856</v>
      </c>
      <c r="I122" s="1027">
        <f t="shared" si="32"/>
        <v>3.4285714285714288</v>
      </c>
      <c r="J122" s="1027">
        <f t="shared" si="33"/>
        <v>8.5714285714285712</v>
      </c>
      <c r="K122" s="1027">
        <f t="shared" si="34"/>
        <v>4.8571428571428568</v>
      </c>
      <c r="L122" s="1027">
        <f t="shared" si="35"/>
        <v>0.8571428571428571</v>
      </c>
      <c r="M122" s="1027">
        <f>'General Assumptions'!$C$24/'General Assumptions'!$C$22</f>
        <v>0.5714285714285714</v>
      </c>
      <c r="N122" s="1032" t="e">
        <f ca="1">ROUNDUP(SQRT((2*F122*'General Assumptions'!$C$19*'General Assumptions'!$C$25)/(C122*'General Assumptions'!$C$20)),0)</f>
        <v>#NAME?</v>
      </c>
      <c r="O122" s="1033" t="e">
        <f t="shared" ca="1" si="28"/>
        <v>#NAME?</v>
      </c>
      <c r="P122" s="1033" t="e">
        <f t="shared" ca="1" si="29"/>
        <v>#NAME?</v>
      </c>
      <c r="Q122" s="1032" t="e">
        <f t="shared" ca="1" si="30"/>
        <v>#NAME?</v>
      </c>
      <c r="R122" s="1033" t="e">
        <f t="shared" ca="1" si="36"/>
        <v>#NAME?</v>
      </c>
      <c r="S122" s="1994" t="e">
        <f t="shared" ca="1" si="31"/>
        <v>#NAME?</v>
      </c>
      <c r="T122" s="1995" t="e">
        <f ca="1">ROUNDUP(SQRT((2*('General Assumptions'!$C$19*F122)*'General Assumptions'!$C$25)/$L$103),0)</f>
        <v>#NAME?</v>
      </c>
      <c r="U122" s="1996" t="e">
        <f ca="1">ROUNDUP((F122*'General Assumptions'!$C$19)/T122,0)</f>
        <v>#NAME?</v>
      </c>
      <c r="W122" s="1034"/>
    </row>
    <row r="123" spans="2:25" x14ac:dyDescent="0.2">
      <c r="B123" s="1036" t="s">
        <v>344</v>
      </c>
      <c r="C123" s="1029">
        <f>$H$20</f>
        <v>2.8</v>
      </c>
      <c r="D123" s="1030">
        <f>$L$20</f>
        <v>0.34017112903225799</v>
      </c>
      <c r="E123" s="1029" t="e">
        <f ca="1">M$20</f>
        <v>#NAME?</v>
      </c>
      <c r="F123" s="1031" t="e">
        <f t="shared" ca="1" si="27"/>
        <v>#NAME?</v>
      </c>
      <c r="G123" s="1027" t="e">
        <f t="shared" ca="1" si="26"/>
        <v>#NAME?</v>
      </c>
      <c r="H123" s="1027">
        <f>'General Assumptions'!$C$23/'General Assumptions'!$C$22</f>
        <v>4.2857142857142856</v>
      </c>
      <c r="I123" s="1027">
        <f t="shared" si="32"/>
        <v>3.4285714285714288</v>
      </c>
      <c r="J123" s="1027">
        <f t="shared" si="33"/>
        <v>8.5714285714285712</v>
      </c>
      <c r="K123" s="1027">
        <f t="shared" si="34"/>
        <v>4.8571428571428568</v>
      </c>
      <c r="L123" s="1027">
        <f t="shared" si="35"/>
        <v>0.8571428571428571</v>
      </c>
      <c r="M123" s="1027">
        <f>'General Assumptions'!$C$24/'General Assumptions'!$C$22</f>
        <v>0.5714285714285714</v>
      </c>
      <c r="N123" s="1032" t="e">
        <f ca="1">ROUNDUP(SQRT((2*F123*'General Assumptions'!$C$19*'General Assumptions'!$C$25)/(C123*'General Assumptions'!$C$20)),0)</f>
        <v>#NAME?</v>
      </c>
      <c r="O123" s="1033" t="e">
        <f t="shared" ca="1" si="28"/>
        <v>#NAME?</v>
      </c>
      <c r="P123" s="1033" t="e">
        <f t="shared" ca="1" si="29"/>
        <v>#NAME?</v>
      </c>
      <c r="Q123" s="1032" t="e">
        <f t="shared" ca="1" si="30"/>
        <v>#NAME?</v>
      </c>
      <c r="R123" s="1033" t="e">
        <f t="shared" ca="1" si="36"/>
        <v>#NAME?</v>
      </c>
      <c r="S123" s="1994" t="e">
        <f t="shared" ca="1" si="31"/>
        <v>#NAME?</v>
      </c>
      <c r="T123" s="1995" t="e">
        <f ca="1">ROUNDUP(SQRT((2*('General Assumptions'!$C$19*F123)*'General Assumptions'!$C$25)/$L$103),0)</f>
        <v>#NAME?</v>
      </c>
      <c r="U123" s="1996" t="e">
        <f ca="1">ROUNDUP((F123*'General Assumptions'!$C$19)/T123,0)</f>
        <v>#NAME?</v>
      </c>
      <c r="W123" s="1034"/>
    </row>
    <row r="124" spans="2:25" x14ac:dyDescent="0.2">
      <c r="B124" s="1036" t="s">
        <v>268</v>
      </c>
      <c r="C124" s="1029">
        <f>$H$21</f>
        <v>5</v>
      </c>
      <c r="D124" s="1030">
        <f>$L$21</f>
        <v>1.4693010726845441</v>
      </c>
      <c r="E124" s="1029" t="e">
        <f ca="1">M$21</f>
        <v>#NAME?</v>
      </c>
      <c r="F124" s="1031" t="e">
        <f t="shared" ca="1" si="27"/>
        <v>#NAME?</v>
      </c>
      <c r="G124" s="1027" t="e">
        <f t="shared" ca="1" si="26"/>
        <v>#NAME?</v>
      </c>
      <c r="H124" s="1027">
        <f>'General Assumptions'!$C$23/'General Assumptions'!$C$22</f>
        <v>4.2857142857142856</v>
      </c>
      <c r="I124" s="1027">
        <f t="shared" si="32"/>
        <v>3.4285714285714288</v>
      </c>
      <c r="J124" s="1027">
        <f t="shared" si="33"/>
        <v>8.5714285714285712</v>
      </c>
      <c r="K124" s="1027">
        <f t="shared" si="34"/>
        <v>4.8571428571428568</v>
      </c>
      <c r="L124" s="1027">
        <f t="shared" si="35"/>
        <v>0.8571428571428571</v>
      </c>
      <c r="M124" s="1027">
        <f>'General Assumptions'!$C$24/'General Assumptions'!$C$22</f>
        <v>0.5714285714285714</v>
      </c>
      <c r="N124" s="1032" t="e">
        <f ca="1">ROUNDUP(SQRT((2*F124*'General Assumptions'!$C$19*'General Assumptions'!$C$25)/(C124*'General Assumptions'!$C$20)),0)</f>
        <v>#NAME?</v>
      </c>
      <c r="O124" s="1033" t="e">
        <f t="shared" ca="1" si="28"/>
        <v>#NAME?</v>
      </c>
      <c r="P124" s="1033" t="e">
        <f t="shared" ca="1" si="29"/>
        <v>#NAME?</v>
      </c>
      <c r="Q124" s="1032" t="e">
        <f t="shared" ca="1" si="30"/>
        <v>#NAME?</v>
      </c>
      <c r="R124" s="1033" t="e">
        <f t="shared" ca="1" si="36"/>
        <v>#NAME?</v>
      </c>
      <c r="S124" s="1994" t="e">
        <f t="shared" ca="1" si="31"/>
        <v>#NAME?</v>
      </c>
      <c r="T124" s="1995" t="e">
        <f ca="1">ROUNDUP(SQRT((2*('General Assumptions'!$C$19*F124)*'General Assumptions'!$C$25)/$L$103),0)</f>
        <v>#NAME?</v>
      </c>
      <c r="U124" s="1996" t="e">
        <f ca="1">ROUNDUP((F124*'General Assumptions'!$C$19)/T124,0)</f>
        <v>#NAME?</v>
      </c>
      <c r="W124" s="1034"/>
    </row>
    <row r="125" spans="2:25" x14ac:dyDescent="0.2">
      <c r="B125" s="1036" t="s">
        <v>272</v>
      </c>
      <c r="C125" s="1029">
        <f>$H$22</f>
        <v>0.25</v>
      </c>
      <c r="D125" s="1030">
        <f>$L$22</f>
        <v>2</v>
      </c>
      <c r="E125" s="1029" t="e">
        <f ca="1">M$22</f>
        <v>#NAME?</v>
      </c>
      <c r="F125" s="1031" t="e">
        <f t="shared" ca="1" si="27"/>
        <v>#NAME?</v>
      </c>
      <c r="G125" s="1027" t="e">
        <f t="shared" ca="1" si="26"/>
        <v>#NAME?</v>
      </c>
      <c r="H125" s="1027">
        <f>'General Assumptions'!$C$23/'General Assumptions'!$C$22</f>
        <v>4.2857142857142856</v>
      </c>
      <c r="I125" s="1027">
        <f t="shared" si="32"/>
        <v>3.4285714285714288</v>
      </c>
      <c r="J125" s="1027">
        <f t="shared" si="33"/>
        <v>8.5714285714285712</v>
      </c>
      <c r="K125" s="1027">
        <f t="shared" si="34"/>
        <v>4.8571428571428568</v>
      </c>
      <c r="L125" s="1027">
        <f t="shared" si="35"/>
        <v>0.8571428571428571</v>
      </c>
      <c r="M125" s="1027">
        <f>'General Assumptions'!$C$24/'General Assumptions'!$C$22</f>
        <v>0.5714285714285714</v>
      </c>
      <c r="N125" s="1032" t="e">
        <f ca="1">ROUNDUP(SQRT((2*F125*'General Assumptions'!$C$19*'General Assumptions'!$C$25)/(C125*'General Assumptions'!$C$20)),0)</f>
        <v>#NAME?</v>
      </c>
      <c r="O125" s="1033" t="e">
        <f t="shared" ca="1" si="28"/>
        <v>#NAME?</v>
      </c>
      <c r="P125" s="1033" t="e">
        <f t="shared" ca="1" si="29"/>
        <v>#NAME?</v>
      </c>
      <c r="Q125" s="1032" t="e">
        <f t="shared" ca="1" si="30"/>
        <v>#NAME?</v>
      </c>
      <c r="R125" s="1033" t="e">
        <f t="shared" ca="1" si="36"/>
        <v>#NAME?</v>
      </c>
      <c r="S125" s="1994" t="e">
        <f t="shared" ca="1" si="31"/>
        <v>#NAME?</v>
      </c>
      <c r="T125" s="1995" t="e">
        <f ca="1">ROUNDUP(SQRT((2*('General Assumptions'!$C$19*F125)*'General Assumptions'!$C$25)/$L$103),0)</f>
        <v>#NAME?</v>
      </c>
      <c r="U125" s="1996" t="e">
        <f ca="1">ROUNDUP((F125*'General Assumptions'!$C$19)/T125,0)</f>
        <v>#NAME?</v>
      </c>
      <c r="W125" s="1034"/>
    </row>
    <row r="126" spans="2:25" x14ac:dyDescent="0.2">
      <c r="B126" s="1036" t="s">
        <v>276</v>
      </c>
      <c r="C126" s="1029">
        <f>$H$23</f>
        <v>0.05</v>
      </c>
      <c r="D126" s="1030">
        <f>$L$23</f>
        <v>0.91439950622426658</v>
      </c>
      <c r="E126" s="1029" t="e">
        <f ca="1">M$23</f>
        <v>#NAME?</v>
      </c>
      <c r="F126" s="1031" t="e">
        <f t="shared" ca="1" si="27"/>
        <v>#NAME?</v>
      </c>
      <c r="G126" s="1027" t="e">
        <f t="shared" ca="1" si="26"/>
        <v>#NAME?</v>
      </c>
      <c r="H126" s="1027">
        <f>'General Assumptions'!$C$23/'General Assumptions'!$C$22</f>
        <v>4.2857142857142856</v>
      </c>
      <c r="I126" s="1027">
        <f t="shared" si="32"/>
        <v>3.4285714285714288</v>
      </c>
      <c r="J126" s="1027">
        <f t="shared" si="33"/>
        <v>8.5714285714285712</v>
      </c>
      <c r="K126" s="1027">
        <f t="shared" si="34"/>
        <v>4.8571428571428568</v>
      </c>
      <c r="L126" s="1027">
        <f t="shared" si="35"/>
        <v>0.8571428571428571</v>
      </c>
      <c r="M126" s="1027">
        <f>'General Assumptions'!$C$24/'General Assumptions'!$C$22</f>
        <v>0.5714285714285714</v>
      </c>
      <c r="N126" s="1032" t="e">
        <f ca="1">ROUNDUP(SQRT((2*F126*'General Assumptions'!$C$19*'General Assumptions'!$C$25)/(C126*'General Assumptions'!$C$20)),0)</f>
        <v>#NAME?</v>
      </c>
      <c r="O126" s="1033" t="e">
        <f t="shared" ca="1" si="28"/>
        <v>#NAME?</v>
      </c>
      <c r="P126" s="1033" t="e">
        <f t="shared" ca="1" si="29"/>
        <v>#NAME?</v>
      </c>
      <c r="Q126" s="1032" t="e">
        <f t="shared" ca="1" si="30"/>
        <v>#NAME?</v>
      </c>
      <c r="R126" s="1033" t="e">
        <f t="shared" ca="1" si="36"/>
        <v>#NAME?</v>
      </c>
      <c r="S126" s="1994" t="e">
        <f t="shared" ca="1" si="31"/>
        <v>#NAME?</v>
      </c>
      <c r="T126" s="1995" t="e">
        <f ca="1">ROUNDUP(SQRT((2*('General Assumptions'!$C$19*F126)*'General Assumptions'!$C$25)/$L$103),0)</f>
        <v>#NAME?</v>
      </c>
      <c r="U126" s="1996" t="e">
        <f ca="1">ROUNDUP((F126*'General Assumptions'!$C$19)/T126,0)</f>
        <v>#NAME?</v>
      </c>
      <c r="W126" s="1034"/>
    </row>
    <row r="127" spans="2:25" x14ac:dyDescent="0.2">
      <c r="B127" s="1036" t="s">
        <v>279</v>
      </c>
      <c r="C127" s="1029">
        <f>$H$24</f>
        <v>1.8</v>
      </c>
      <c r="D127" s="1030">
        <f>$L$24</f>
        <v>0.69975730167128702</v>
      </c>
      <c r="E127" s="1029" t="e">
        <f ca="1">M$24</f>
        <v>#NAME?</v>
      </c>
      <c r="F127" s="1031" t="e">
        <f t="shared" ca="1" si="27"/>
        <v>#NAME?</v>
      </c>
      <c r="G127" s="1027" t="e">
        <f t="shared" ca="1" si="26"/>
        <v>#NAME?</v>
      </c>
      <c r="H127" s="1027">
        <f>'General Assumptions'!$C$23/'General Assumptions'!$C$22</f>
        <v>4.2857142857142856</v>
      </c>
      <c r="I127" s="1027">
        <f t="shared" si="32"/>
        <v>3.4285714285714288</v>
      </c>
      <c r="J127" s="1027">
        <f t="shared" si="33"/>
        <v>8.5714285714285712</v>
      </c>
      <c r="K127" s="1027">
        <f t="shared" si="34"/>
        <v>4.8571428571428568</v>
      </c>
      <c r="L127" s="1027">
        <f t="shared" si="35"/>
        <v>0.8571428571428571</v>
      </c>
      <c r="M127" s="1027">
        <f>'General Assumptions'!$C$24/'General Assumptions'!$C$22</f>
        <v>0.5714285714285714</v>
      </c>
      <c r="N127" s="1032" t="e">
        <f ca="1">ROUNDUP(SQRT((2*F127*'General Assumptions'!$C$19*'General Assumptions'!$C$25)/(C127*'General Assumptions'!$C$20)),0)</f>
        <v>#NAME?</v>
      </c>
      <c r="O127" s="1033" t="e">
        <f t="shared" ca="1" si="28"/>
        <v>#NAME?</v>
      </c>
      <c r="P127" s="1033" t="e">
        <f t="shared" ca="1" si="29"/>
        <v>#NAME?</v>
      </c>
      <c r="Q127" s="1032" t="e">
        <f t="shared" ca="1" si="30"/>
        <v>#NAME?</v>
      </c>
      <c r="R127" s="1033" t="e">
        <f t="shared" ca="1" si="36"/>
        <v>#NAME?</v>
      </c>
      <c r="S127" s="1994" t="e">
        <f t="shared" ca="1" si="31"/>
        <v>#NAME?</v>
      </c>
      <c r="T127" s="1995" t="e">
        <f ca="1">ROUNDUP(SQRT((2*('General Assumptions'!$C$19*F127)*'General Assumptions'!$C$25)/$L$103),0)</f>
        <v>#NAME?</v>
      </c>
      <c r="U127" s="1996" t="e">
        <f ca="1">ROUNDUP((F127*'General Assumptions'!$C$19)/T127,0)</f>
        <v>#NAME?</v>
      </c>
      <c r="W127" s="1034"/>
    </row>
    <row r="128" spans="2:25" x14ac:dyDescent="0.2">
      <c r="B128" s="1036" t="s">
        <v>282</v>
      </c>
      <c r="C128" s="1029">
        <f>$H$25</f>
        <v>3</v>
      </c>
      <c r="D128" s="1030">
        <f>$L$25</f>
        <v>9.8254910065803294E-2</v>
      </c>
      <c r="E128" s="1029" t="e">
        <f ca="1">M$25</f>
        <v>#NAME?</v>
      </c>
      <c r="F128" s="1031" t="e">
        <f t="shared" ca="1" si="27"/>
        <v>#NAME?</v>
      </c>
      <c r="G128" s="1027" t="e">
        <f t="shared" ca="1" si="26"/>
        <v>#NAME?</v>
      </c>
      <c r="H128" s="1027">
        <f>'General Assumptions'!$C$23/'General Assumptions'!$C$22</f>
        <v>4.2857142857142856</v>
      </c>
      <c r="I128" s="1027">
        <f t="shared" si="32"/>
        <v>3.4285714285714288</v>
      </c>
      <c r="J128" s="1027">
        <f t="shared" si="33"/>
        <v>8.5714285714285712</v>
      </c>
      <c r="K128" s="1027">
        <f t="shared" si="34"/>
        <v>4.8571428571428568</v>
      </c>
      <c r="L128" s="1027">
        <f t="shared" si="35"/>
        <v>0.8571428571428571</v>
      </c>
      <c r="M128" s="1027">
        <f>'General Assumptions'!$C$24/'General Assumptions'!$C$22</f>
        <v>0.5714285714285714</v>
      </c>
      <c r="N128" s="1032" t="e">
        <f ca="1">ROUNDUP(SQRT((2*F128*'General Assumptions'!$C$19*'General Assumptions'!$C$25)/(C128*'General Assumptions'!$C$20)),0)</f>
        <v>#NAME?</v>
      </c>
      <c r="O128" s="1033" t="e">
        <f t="shared" ca="1" si="28"/>
        <v>#NAME?</v>
      </c>
      <c r="P128" s="1033" t="e">
        <f t="shared" ca="1" si="29"/>
        <v>#NAME?</v>
      </c>
      <c r="Q128" s="1032" t="e">
        <f t="shared" ca="1" si="30"/>
        <v>#NAME?</v>
      </c>
      <c r="R128" s="1033" t="e">
        <f t="shared" ca="1" si="36"/>
        <v>#NAME?</v>
      </c>
      <c r="S128" s="1994" t="e">
        <f t="shared" ca="1" si="31"/>
        <v>#NAME?</v>
      </c>
      <c r="T128" s="1995" t="e">
        <f ca="1">ROUNDUP(SQRT((2*('General Assumptions'!$C$19*F128)*'General Assumptions'!$C$25)/$L$103),0)</f>
        <v>#NAME?</v>
      </c>
      <c r="U128" s="1996" t="e">
        <f ca="1">ROUNDUP((F128*'General Assumptions'!$C$19)/T128,0)</f>
        <v>#NAME?</v>
      </c>
      <c r="W128" s="1034"/>
    </row>
    <row r="129" spans="1:23" x14ac:dyDescent="0.2">
      <c r="B129" s="1036" t="s">
        <v>286</v>
      </c>
      <c r="C129" s="1029">
        <f>$H$26</f>
        <v>0.1</v>
      </c>
      <c r="D129" s="1030">
        <f>$L$26</f>
        <v>4.6651138808385042</v>
      </c>
      <c r="E129" s="1029" t="e">
        <f ca="1">M$26</f>
        <v>#NAME?</v>
      </c>
      <c r="F129" s="1031" t="e">
        <f t="shared" ca="1" si="27"/>
        <v>#NAME?</v>
      </c>
      <c r="G129" s="1027" t="e">
        <f t="shared" ca="1" si="26"/>
        <v>#NAME?</v>
      </c>
      <c r="H129" s="1027">
        <f>'General Assumptions'!$C$23/'General Assumptions'!$C$22</f>
        <v>4.2857142857142856</v>
      </c>
      <c r="I129" s="1027">
        <f t="shared" si="32"/>
        <v>3.4285714285714288</v>
      </c>
      <c r="J129" s="1027">
        <f t="shared" si="33"/>
        <v>8.5714285714285712</v>
      </c>
      <c r="K129" s="1027">
        <f t="shared" si="34"/>
        <v>4.8571428571428568</v>
      </c>
      <c r="L129" s="1027">
        <f t="shared" si="35"/>
        <v>0.8571428571428571</v>
      </c>
      <c r="M129" s="1027">
        <f>'General Assumptions'!$C$24/'General Assumptions'!$C$22</f>
        <v>0.5714285714285714</v>
      </c>
      <c r="N129" s="1032" t="e">
        <f ca="1">ROUNDUP(SQRT((2*F129*'General Assumptions'!$C$19*'General Assumptions'!$C$25)/(C129*'General Assumptions'!$C$20)),0)</f>
        <v>#NAME?</v>
      </c>
      <c r="O129" s="1033" t="e">
        <f t="shared" ca="1" si="28"/>
        <v>#NAME?</v>
      </c>
      <c r="P129" s="1033" t="e">
        <f t="shared" ca="1" si="29"/>
        <v>#NAME?</v>
      </c>
      <c r="Q129" s="1032" t="e">
        <f t="shared" ca="1" si="30"/>
        <v>#NAME?</v>
      </c>
      <c r="R129" s="1033" t="e">
        <f t="shared" ca="1" si="36"/>
        <v>#NAME?</v>
      </c>
      <c r="S129" s="1994" t="e">
        <f t="shared" ca="1" si="31"/>
        <v>#NAME?</v>
      </c>
      <c r="T129" s="1995" t="e">
        <f ca="1">ROUNDUP(SQRT((2*('General Assumptions'!$C$19*F129)*'General Assumptions'!$C$25)/$L$103),0)</f>
        <v>#NAME?</v>
      </c>
      <c r="U129" s="1996" t="e">
        <f ca="1">ROUNDUP((F129*'General Assumptions'!$C$19)/T129,0)</f>
        <v>#NAME?</v>
      </c>
      <c r="W129" s="1034"/>
    </row>
    <row r="130" spans="1:23" x14ac:dyDescent="0.2">
      <c r="B130" s="1039" t="s">
        <v>290</v>
      </c>
      <c r="C130" s="1040">
        <f>$H$27</f>
        <v>0.12</v>
      </c>
      <c r="D130" s="1041">
        <f>$L$27</f>
        <v>0.33337481997759721</v>
      </c>
      <c r="E130" s="1040" t="e">
        <f ca="1">M$27</f>
        <v>#NAME?</v>
      </c>
      <c r="F130" s="1042" t="e">
        <f ca="1">ROUNDUP(D130*$C$110,0)</f>
        <v>#NAME?</v>
      </c>
      <c r="G130" s="1043" t="e">
        <f t="shared" ca="1" si="26"/>
        <v>#NAME?</v>
      </c>
      <c r="H130" s="1043">
        <f>'General Assumptions'!$C$23/'General Assumptions'!$C$22</f>
        <v>4.2857142857142856</v>
      </c>
      <c r="I130" s="1043">
        <f t="shared" si="32"/>
        <v>3.4285714285714288</v>
      </c>
      <c r="J130" s="1043">
        <f t="shared" si="33"/>
        <v>8.5714285714285712</v>
      </c>
      <c r="K130" s="1043">
        <f t="shared" si="34"/>
        <v>4.8571428571428568</v>
      </c>
      <c r="L130" s="1043">
        <f t="shared" si="35"/>
        <v>0.8571428571428571</v>
      </c>
      <c r="M130" s="1043">
        <f>'General Assumptions'!$C$24/'General Assumptions'!$C$22</f>
        <v>0.5714285714285714</v>
      </c>
      <c r="N130" s="1044" t="e">
        <f ca="1">ROUNDUP(SQRT((2*F130*'General Assumptions'!$C$19*'General Assumptions'!$C$25)/(C130*'General Assumptions'!$C$20)),0)</f>
        <v>#NAME?</v>
      </c>
      <c r="O130" s="1045" t="e">
        <f t="shared" ca="1" si="28"/>
        <v>#NAME?</v>
      </c>
      <c r="P130" s="1045" t="e">
        <f t="shared" ca="1" si="29"/>
        <v>#NAME?</v>
      </c>
      <c r="Q130" s="1044" t="e">
        <f t="shared" ca="1" si="30"/>
        <v>#NAME?</v>
      </c>
      <c r="R130" s="1045" t="e">
        <f t="shared" ca="1" si="36"/>
        <v>#NAME?</v>
      </c>
      <c r="S130" s="1997" t="e">
        <f t="shared" ca="1" si="31"/>
        <v>#NAME?</v>
      </c>
      <c r="T130" s="1998" t="e">
        <f ca="1">ROUNDUP(SQRT((2*('General Assumptions'!$C$19*F130)*'General Assumptions'!$C$25)/$L$103),0)</f>
        <v>#NAME?</v>
      </c>
      <c r="U130" s="1999" t="e">
        <f ca="1">ROUNDUP((F130*'General Assumptions'!$C$19)/T130,0)</f>
        <v>#NAME?</v>
      </c>
      <c r="W130" s="1034"/>
    </row>
    <row r="131" spans="1:23" x14ac:dyDescent="0.2">
      <c r="B131" s="1016"/>
      <c r="C131" s="1016"/>
      <c r="D131" s="1016"/>
      <c r="E131" s="1016"/>
      <c r="F131" s="1016"/>
      <c r="G131" s="1016"/>
      <c r="H131" s="1016"/>
      <c r="I131" s="1016"/>
      <c r="J131" s="996"/>
      <c r="K131" s="996"/>
      <c r="L131" s="996"/>
      <c r="M131" s="996"/>
      <c r="N131" s="996"/>
      <c r="O131" s="996"/>
      <c r="P131" s="996"/>
      <c r="Q131" s="996"/>
      <c r="R131" s="996"/>
      <c r="S131" s="996"/>
      <c r="T131" s="996"/>
    </row>
    <row r="132" spans="1:23" s="1005" customFormat="1" ht="1.25" customHeight="1" x14ac:dyDescent="0.2">
      <c r="A132" s="1002"/>
      <c r="B132" s="1058"/>
      <c r="C132" s="1058"/>
      <c r="D132" s="1058"/>
      <c r="E132" s="1058"/>
      <c r="F132" s="1058"/>
      <c r="G132" s="1058"/>
      <c r="H132" s="1058"/>
      <c r="I132" s="1058"/>
      <c r="J132" s="1004"/>
      <c r="K132" s="1004"/>
      <c r="L132" s="1004"/>
      <c r="M132" s="1004"/>
      <c r="N132" s="1004"/>
      <c r="O132" s="1004"/>
      <c r="P132" s="1004"/>
      <c r="Q132" s="1004"/>
      <c r="R132" s="1004"/>
      <c r="S132" s="1004"/>
      <c r="T132" s="1004"/>
    </row>
    <row r="133" spans="1:23" x14ac:dyDescent="0.2">
      <c r="B133" s="1016"/>
      <c r="C133" s="1016"/>
      <c r="D133" s="1016"/>
      <c r="E133" s="1016"/>
      <c r="F133" s="1016"/>
      <c r="G133" s="1016"/>
      <c r="H133" s="1016"/>
      <c r="I133" s="1016"/>
      <c r="J133" s="996"/>
      <c r="K133" s="996"/>
      <c r="L133" s="996"/>
      <c r="M133" s="996"/>
      <c r="N133" s="996"/>
      <c r="O133" s="996"/>
      <c r="P133" s="996"/>
      <c r="Q133" s="996"/>
      <c r="R133" s="996"/>
      <c r="S133" s="996"/>
      <c r="T133" s="996"/>
    </row>
    <row r="134" spans="1:23" x14ac:dyDescent="0.2">
      <c r="B134" s="2870" t="s">
        <v>352</v>
      </c>
      <c r="C134" s="2871"/>
      <c r="D134" s="996"/>
      <c r="E134" s="2874" t="s">
        <v>296</v>
      </c>
      <c r="F134" s="2875"/>
      <c r="G134" s="996"/>
      <c r="H134" s="2874" t="s">
        <v>297</v>
      </c>
      <c r="I134" s="2875"/>
      <c r="J134" s="996"/>
      <c r="K134" s="2878" t="s">
        <v>298</v>
      </c>
      <c r="L134" s="2879"/>
      <c r="M134" s="996"/>
      <c r="N134" s="996"/>
      <c r="O134" s="996"/>
      <c r="P134" s="996"/>
      <c r="Q134" s="996"/>
      <c r="R134" s="996"/>
      <c r="S134" s="996"/>
      <c r="T134" s="996"/>
    </row>
    <row r="135" spans="1:23" x14ac:dyDescent="0.2">
      <c r="B135" s="2872"/>
      <c r="C135" s="2873"/>
      <c r="D135" s="996"/>
      <c r="E135" s="2876"/>
      <c r="F135" s="2877"/>
      <c r="G135" s="996"/>
      <c r="H135" s="2876"/>
      <c r="I135" s="2877"/>
      <c r="J135" s="996"/>
      <c r="K135" s="2880"/>
      <c r="L135" s="2881"/>
      <c r="M135" s="996"/>
      <c r="N135" s="996"/>
      <c r="O135" s="996"/>
      <c r="P135" s="996"/>
      <c r="Q135" s="996"/>
      <c r="R135" s="996"/>
      <c r="S135" s="996"/>
      <c r="T135" s="996"/>
    </row>
    <row r="136" spans="1:23" x14ac:dyDescent="0.2">
      <c r="B136" s="1006" t="s">
        <v>299</v>
      </c>
      <c r="C136" s="1007"/>
      <c r="D136" s="996"/>
      <c r="E136" s="1006" t="s">
        <v>300</v>
      </c>
      <c r="F136" s="1007" t="e">
        <f ca="1">C144/2</f>
        <v>#NAME?</v>
      </c>
      <c r="G136" s="996"/>
      <c r="H136" s="1006" t="s">
        <v>301</v>
      </c>
      <c r="I136" s="1635" t="e">
        <f ca="1">SUM(S150:S164)*'Scrap + Defect'!F56</f>
        <v>#NAME?</v>
      </c>
      <c r="J136" s="996"/>
      <c r="K136" s="1020" t="s">
        <v>302</v>
      </c>
      <c r="L136" s="1992">
        <f>'General Assumptions'!C25</f>
        <v>1140</v>
      </c>
      <c r="M136" s="996"/>
      <c r="N136" s="996"/>
      <c r="O136" s="996"/>
      <c r="P136" s="996"/>
      <c r="Q136" s="996"/>
      <c r="R136" s="996"/>
      <c r="S136" s="996"/>
      <c r="T136" s="996"/>
    </row>
    <row r="137" spans="1:23" x14ac:dyDescent="0.2">
      <c r="B137" s="1006" t="s">
        <v>303</v>
      </c>
      <c r="C137" s="1007" t="e">
        <f ca="1">'BASES MODEL (Base Case)'!F37</f>
        <v>#NAME?</v>
      </c>
      <c r="D137" s="996"/>
      <c r="E137" s="1006" t="s">
        <v>304</v>
      </c>
      <c r="F137" s="1055" t="e">
        <f ca="1">ROUNDUP($I$146*C145*SQRT('General Assumptions'!$C$21),0)</f>
        <v>#NAME?</v>
      </c>
      <c r="G137" s="996"/>
      <c r="H137" s="1006" t="s">
        <v>305</v>
      </c>
      <c r="I137" s="1635" t="e">
        <f ca="1">F143*(SUMPRODUCT(C150:C164,D150:D164)+$C140)/2</f>
        <v>#NAME?</v>
      </c>
      <c r="J137" s="996"/>
      <c r="K137" s="997" t="s">
        <v>306</v>
      </c>
      <c r="L137" s="1022" t="e">
        <f ca="1">'General Assumptions'!$C$20*C140</f>
        <v>#NAME?</v>
      </c>
      <c r="M137" s="996"/>
      <c r="N137" s="996"/>
      <c r="O137" s="996"/>
      <c r="P137" s="996"/>
      <c r="Q137" s="996"/>
      <c r="R137" s="996"/>
      <c r="S137" s="996"/>
      <c r="T137" s="996"/>
    </row>
    <row r="138" spans="1:23" x14ac:dyDescent="0.2">
      <c r="B138" s="1006" t="s">
        <v>307</v>
      </c>
      <c r="C138" s="1007" t="e">
        <f ca="1">0.5*C137</f>
        <v>#NAME?</v>
      </c>
      <c r="D138" s="996"/>
      <c r="E138" s="1009" t="s">
        <v>308</v>
      </c>
      <c r="F138" s="1011" t="e">
        <f ca="1">F137-F136</f>
        <v>#NAME?</v>
      </c>
      <c r="G138" s="996"/>
      <c r="H138" s="1006" t="s">
        <v>309</v>
      </c>
      <c r="I138" s="1635" t="e">
        <f ca="1">F139*$C140</f>
        <v>#NAME?</v>
      </c>
      <c r="J138" s="996"/>
      <c r="K138" s="1001" t="s">
        <v>310</v>
      </c>
      <c r="L138" s="1991" t="e">
        <f ca="1">C137</f>
        <v>#NAME?</v>
      </c>
      <c r="M138" s="996"/>
      <c r="N138" s="996"/>
      <c r="O138" s="996"/>
      <c r="P138" s="996"/>
      <c r="Q138" s="996"/>
      <c r="R138" s="996"/>
      <c r="S138" s="996"/>
      <c r="T138" s="996"/>
    </row>
    <row r="139" spans="1:23" x14ac:dyDescent="0.2">
      <c r="B139" s="1006" t="s">
        <v>311</v>
      </c>
      <c r="C139" s="1007" t="e">
        <f ca="1">2*C137</f>
        <v>#NAME?</v>
      </c>
      <c r="D139" s="996"/>
      <c r="E139" s="2033" t="s">
        <v>312</v>
      </c>
      <c r="F139" s="2025" t="e">
        <f ca="1">SUM(F136:F138)</f>
        <v>#NAME?</v>
      </c>
      <c r="G139" s="996"/>
      <c r="H139" s="2032" t="s">
        <v>128</v>
      </c>
      <c r="I139" s="2031" t="e">
        <f ca="1">SUM(I136:I138)</f>
        <v>#NAME?</v>
      </c>
      <c r="J139" s="996"/>
      <c r="K139" s="999"/>
      <c r="L139" s="1000"/>
      <c r="M139" s="996"/>
      <c r="N139" s="996"/>
      <c r="O139" s="996"/>
      <c r="P139" s="996"/>
      <c r="Q139" s="996"/>
      <c r="R139" s="996"/>
      <c r="S139" s="996"/>
      <c r="T139" s="996"/>
    </row>
    <row r="140" spans="1:23" x14ac:dyDescent="0.2">
      <c r="B140" s="1015" t="s">
        <v>313</v>
      </c>
      <c r="C140" s="1019" t="e">
        <f ca="1">$N$28+'FE Assumptions'!G45+'FE Assumptions'!G48/'BASES MODEL (Base Case)'!F37</f>
        <v>#NAME?</v>
      </c>
      <c r="D140" s="996"/>
      <c r="E140" s="996"/>
      <c r="F140" s="996"/>
      <c r="G140" s="996"/>
      <c r="H140" s="1016"/>
      <c r="I140" s="1016"/>
      <c r="J140" s="996"/>
      <c r="K140" s="996"/>
      <c r="L140" s="996"/>
      <c r="M140" s="996"/>
      <c r="N140" s="996"/>
      <c r="O140" s="996"/>
      <c r="P140" s="996"/>
      <c r="Q140" s="996"/>
      <c r="R140" s="996"/>
      <c r="S140" s="996"/>
      <c r="T140" s="996"/>
    </row>
    <row r="141" spans="1:23" x14ac:dyDescent="0.2">
      <c r="B141" s="1006" t="s">
        <v>314</v>
      </c>
      <c r="C141" s="1007" t="e">
        <f ca="1">ROUNDUP(((4*C137+C138+C139)/6),0)</f>
        <v>#NAME?</v>
      </c>
      <c r="D141" s="996"/>
      <c r="E141" s="2874" t="s">
        <v>315</v>
      </c>
      <c r="F141" s="2875"/>
      <c r="G141" s="996"/>
      <c r="H141" s="2874" t="s">
        <v>316</v>
      </c>
      <c r="I141" s="2875"/>
      <c r="J141" s="996"/>
      <c r="K141" s="996"/>
      <c r="L141" s="996"/>
      <c r="M141" s="996"/>
      <c r="N141" s="996"/>
      <c r="O141" s="996"/>
      <c r="P141" s="996"/>
      <c r="Q141" s="996"/>
      <c r="R141" s="996"/>
      <c r="S141" s="996"/>
      <c r="T141" s="996"/>
    </row>
    <row r="142" spans="1:23" x14ac:dyDescent="0.2">
      <c r="B142" s="1006" t="s">
        <v>317</v>
      </c>
      <c r="C142" s="1017" t="e">
        <f ca="1">(C139-C138)/6</f>
        <v>#NAME?</v>
      </c>
      <c r="D142" s="996"/>
      <c r="E142" s="2876"/>
      <c r="F142" s="2877"/>
      <c r="G142" s="996"/>
      <c r="H142" s="2876"/>
      <c r="I142" s="2877"/>
      <c r="J142" s="996"/>
      <c r="K142" s="996"/>
      <c r="L142" s="996"/>
      <c r="M142" s="996"/>
      <c r="N142" s="996"/>
      <c r="O142" s="996"/>
      <c r="P142" s="996"/>
      <c r="Q142" s="996"/>
      <c r="R142" s="996"/>
      <c r="S142" s="996"/>
      <c r="T142" s="996"/>
    </row>
    <row r="143" spans="1:23" x14ac:dyDescent="0.2">
      <c r="B143" s="1018" t="s">
        <v>318</v>
      </c>
      <c r="C143" s="1019">
        <f>'Avg.Weighted Manufacturer Price'!F34</f>
        <v>73.278874137354507</v>
      </c>
      <c r="D143" s="996"/>
      <c r="E143" s="1012" t="s">
        <v>319</v>
      </c>
      <c r="F143" s="1013" t="e">
        <f ca="1">C144*'General Assumptions'!$C$21</f>
        <v>#NAME?</v>
      </c>
      <c r="G143" s="996"/>
      <c r="H143" s="1009" t="s">
        <v>320</v>
      </c>
      <c r="I143" s="1010" t="e">
        <f ca="1">C140*'General Assumptions'!$C$20/6</f>
        <v>#NAME?</v>
      </c>
      <c r="J143" s="996"/>
      <c r="K143" s="996"/>
      <c r="L143" s="996"/>
      <c r="M143" s="996"/>
      <c r="N143" s="996"/>
      <c r="O143" s="996"/>
      <c r="P143" s="996"/>
      <c r="Q143" s="996"/>
      <c r="R143" s="996"/>
      <c r="S143" s="996"/>
      <c r="T143" s="996"/>
    </row>
    <row r="144" spans="1:23" x14ac:dyDescent="0.2">
      <c r="B144" s="1006" t="s">
        <v>321</v>
      </c>
      <c r="C144" s="1007" t="e">
        <f ca="1">ROUNDUP(C141/'General Assumptions'!$C$19,0)</f>
        <v>#NAME?</v>
      </c>
      <c r="D144" s="996"/>
      <c r="E144" s="1016"/>
      <c r="F144" s="1016"/>
      <c r="G144" s="996"/>
      <c r="H144" s="1006" t="s">
        <v>322</v>
      </c>
      <c r="I144" s="1059" t="e">
        <f ca="1">C143-C140</f>
        <v>#NAME?</v>
      </c>
      <c r="J144" s="996"/>
      <c r="K144" s="996"/>
      <c r="L144" s="996"/>
      <c r="M144" s="996"/>
      <c r="N144" s="996"/>
      <c r="O144" s="996"/>
      <c r="P144" s="996"/>
      <c r="Q144" s="996"/>
      <c r="R144" s="996"/>
      <c r="S144" s="996"/>
      <c r="T144" s="996"/>
    </row>
    <row r="145" spans="2:25" x14ac:dyDescent="0.2">
      <c r="B145" s="1012" t="s">
        <v>323</v>
      </c>
      <c r="C145" s="1023" t="e">
        <f ca="1">C142/SQRT('General Assumptions'!$C$19)</f>
        <v>#NAME?</v>
      </c>
      <c r="D145" s="996"/>
      <c r="E145" s="1016"/>
      <c r="F145" s="1016"/>
      <c r="G145" s="996"/>
      <c r="H145" s="1006" t="s">
        <v>316</v>
      </c>
      <c r="I145" s="1056" t="e">
        <f ca="1">I144/(I144+I143)</f>
        <v>#NAME?</v>
      </c>
      <c r="J145" s="996"/>
      <c r="K145" s="996"/>
      <c r="L145" s="996"/>
      <c r="M145" s="996"/>
      <c r="N145" s="996"/>
      <c r="O145" s="996"/>
      <c r="P145" s="996"/>
      <c r="Q145" s="996"/>
      <c r="R145" s="996"/>
      <c r="S145" s="996"/>
      <c r="T145" s="996"/>
    </row>
    <row r="146" spans="2:25" x14ac:dyDescent="0.2">
      <c r="B146" s="996"/>
      <c r="C146" s="996"/>
      <c r="D146" s="996"/>
      <c r="E146" s="996"/>
      <c r="F146" s="996"/>
      <c r="G146" s="996"/>
      <c r="H146" s="1012" t="s">
        <v>324</v>
      </c>
      <c r="I146" s="1023" t="e">
        <f ca="1">NORMSINV(I145)</f>
        <v>#NAME?</v>
      </c>
      <c r="J146" s="996"/>
      <c r="K146" s="996"/>
      <c r="L146" s="996"/>
      <c r="M146" s="996"/>
      <c r="N146" s="996"/>
      <c r="O146" s="996"/>
      <c r="P146" s="996"/>
      <c r="Q146" s="996"/>
      <c r="R146" s="996"/>
      <c r="S146" s="996"/>
      <c r="T146" s="996"/>
    </row>
    <row r="147" spans="2:25" x14ac:dyDescent="0.2">
      <c r="B147" s="996"/>
      <c r="C147" s="996"/>
      <c r="D147" s="996"/>
      <c r="E147" s="996"/>
      <c r="F147" s="996"/>
      <c r="G147" s="996"/>
      <c r="H147" s="996"/>
      <c r="I147" s="996"/>
      <c r="J147" s="996"/>
      <c r="K147" s="996"/>
      <c r="L147" s="996"/>
      <c r="M147" s="996"/>
      <c r="N147" s="996"/>
      <c r="O147" s="996"/>
      <c r="P147" s="996"/>
      <c r="Q147" s="996"/>
      <c r="R147" s="996"/>
      <c r="S147" s="996"/>
      <c r="T147" s="996"/>
    </row>
    <row r="148" spans="2:25" x14ac:dyDescent="0.2">
      <c r="B148" s="2038" t="s">
        <v>352</v>
      </c>
      <c r="C148" s="1027"/>
      <c r="D148" s="1027"/>
      <c r="E148" s="1027"/>
      <c r="F148" s="1027"/>
      <c r="G148" s="1027"/>
      <c r="H148" s="1027"/>
      <c r="I148" s="1027"/>
      <c r="J148" s="1027"/>
      <c r="K148" s="1027"/>
      <c r="L148" s="1027"/>
      <c r="M148" s="1027"/>
      <c r="N148" s="1027"/>
      <c r="O148" s="1027"/>
      <c r="P148" s="1027"/>
      <c r="Q148" s="1027"/>
      <c r="R148" s="1027"/>
      <c r="S148" s="1027"/>
      <c r="T148" s="1027"/>
      <c r="U148" s="791"/>
      <c r="W148" s="776"/>
      <c r="X148" s="776"/>
      <c r="Y148" s="776"/>
    </row>
    <row r="149" spans="2:25" ht="48" x14ac:dyDescent="0.2">
      <c r="B149" s="1078" t="s">
        <v>325</v>
      </c>
      <c r="C149" s="1077" t="s">
        <v>326</v>
      </c>
      <c r="D149" s="1075" t="s">
        <v>327</v>
      </c>
      <c r="E149" s="1075" t="s">
        <v>328</v>
      </c>
      <c r="F149" s="1075" t="s">
        <v>329</v>
      </c>
      <c r="G149" s="1075" t="s">
        <v>330</v>
      </c>
      <c r="H149" s="1075" t="s">
        <v>331</v>
      </c>
      <c r="I149" s="1075" t="s">
        <v>332</v>
      </c>
      <c r="J149" s="1075" t="s">
        <v>333</v>
      </c>
      <c r="K149" s="1075" t="s">
        <v>334</v>
      </c>
      <c r="L149" s="1075" t="s">
        <v>335</v>
      </c>
      <c r="M149" s="1075" t="s">
        <v>336</v>
      </c>
      <c r="N149" s="1075" t="s">
        <v>337</v>
      </c>
      <c r="O149" s="1075" t="s">
        <v>300</v>
      </c>
      <c r="P149" s="1075" t="s">
        <v>304</v>
      </c>
      <c r="Q149" s="1075" t="s">
        <v>338</v>
      </c>
      <c r="R149" s="1075" t="s">
        <v>339</v>
      </c>
      <c r="S149" s="1075" t="s">
        <v>340</v>
      </c>
      <c r="T149" s="1075" t="s">
        <v>341</v>
      </c>
      <c r="U149" s="1076" t="s">
        <v>342</v>
      </c>
      <c r="W149" s="1028"/>
      <c r="X149" s="776"/>
      <c r="Y149" s="776"/>
    </row>
    <row r="150" spans="2:25" x14ac:dyDescent="0.2">
      <c r="B150" s="1035" t="s">
        <v>238</v>
      </c>
      <c r="C150" s="1029">
        <f>$H$13</f>
        <v>0.25</v>
      </c>
      <c r="D150" s="1030">
        <f>$L$13</f>
        <v>1</v>
      </c>
      <c r="E150" s="1029" t="e">
        <f ca="1">$M$13</f>
        <v>#NAME?</v>
      </c>
      <c r="F150" s="1031" t="e">
        <f ca="1">ROUNDUP(D150*$C$144,0)</f>
        <v>#NAME?</v>
      </c>
      <c r="G150" s="1027" t="e">
        <f t="shared" ref="G150:G151" ca="1" si="37">D150*$C$145</f>
        <v>#NAME?</v>
      </c>
      <c r="H150" s="1027">
        <f>'General Assumptions'!$C$23/'General Assumptions'!$C$22</f>
        <v>4.2857142857142856</v>
      </c>
      <c r="I150" s="1027">
        <f>0.8*H150</f>
        <v>3.4285714285714288</v>
      </c>
      <c r="J150" s="1027">
        <f>2*H150</f>
        <v>8.5714285714285712</v>
      </c>
      <c r="K150" s="1027">
        <f>(I150+4*H150+J150)/6</f>
        <v>4.8571428571428568</v>
      </c>
      <c r="L150" s="1027">
        <f>(J150-I150)/6</f>
        <v>0.8571428571428571</v>
      </c>
      <c r="M150" s="1027">
        <f>'General Assumptions'!$C$24/'General Assumptions'!$C$22</f>
        <v>0.5714285714285714</v>
      </c>
      <c r="N150" s="1032" t="e">
        <f ca="1">ROUNDUP(SQRT((2*F150*'General Assumptions'!$C$19*'General Assumptions'!$C$25)/(C150*'General Assumptions'!$C$20)),0)</f>
        <v>#NAME?</v>
      </c>
      <c r="O150" s="1033" t="e">
        <f ca="1">ROUNDUP(N150/2,0)</f>
        <v>#NAME?</v>
      </c>
      <c r="P150" s="1033" t="e">
        <f ca="1">ROUNDUP($I$146*SQRT((I150*G150^2)+(F150^2)*(L150^2)),0)</f>
        <v>#NAME?</v>
      </c>
      <c r="Q150" s="1032" t="e">
        <f ca="1">ROUNDUP(F150*M150,0)</f>
        <v>#NAME?</v>
      </c>
      <c r="R150" s="1033" t="e">
        <f t="shared" ref="R150:R151" ca="1" si="38">SUM(O150:Q150)</f>
        <v>#NAME?</v>
      </c>
      <c r="S150" s="1034" t="e">
        <f t="shared" ref="S150:S164" ca="1" si="39">R150*C150</f>
        <v>#NAME?</v>
      </c>
      <c r="T150" s="1061" t="e">
        <f ca="1">ROUNDUP(SQRT((2*('General Assumptions'!$C$19*F150)*'General Assumptions'!$C$25)/$L$137),0)</f>
        <v>#NAME?</v>
      </c>
      <c r="U150" s="1062" t="e">
        <f ca="1">ROUNDUP((F150*'General Assumptions'!$C$19)/T150,0)</f>
        <v>#NAME?</v>
      </c>
      <c r="W150" s="1060"/>
      <c r="X150" s="776"/>
      <c r="Y150" s="776"/>
    </row>
    <row r="151" spans="2:25" x14ac:dyDescent="0.2">
      <c r="B151" s="1035" t="s">
        <v>243</v>
      </c>
      <c r="C151" s="1029">
        <f>$H$14</f>
        <v>8.0000000000000002E-3</v>
      </c>
      <c r="D151" s="1030">
        <f>$L$14</f>
        <v>1</v>
      </c>
      <c r="E151" s="1029" t="e">
        <f ca="1">$M$14</f>
        <v>#NAME?</v>
      </c>
      <c r="F151" s="1031" t="e">
        <f t="shared" ref="F151:F164" ca="1" si="40">ROUNDUP(D151*$C$144,0)</f>
        <v>#NAME?</v>
      </c>
      <c r="G151" s="1027" t="e">
        <f t="shared" ca="1" si="37"/>
        <v>#NAME?</v>
      </c>
      <c r="H151" s="1027">
        <f>'General Assumptions'!$C$23/'General Assumptions'!$C$22</f>
        <v>4.2857142857142856</v>
      </c>
      <c r="I151" s="1027">
        <f>0.8*H151</f>
        <v>3.4285714285714288</v>
      </c>
      <c r="J151" s="1027">
        <f>2*H151</f>
        <v>8.5714285714285712</v>
      </c>
      <c r="K151" s="1027">
        <f>(I151+4*H151+J151)/6</f>
        <v>4.8571428571428568</v>
      </c>
      <c r="L151" s="1027">
        <f>(J151-I151)/6</f>
        <v>0.8571428571428571</v>
      </c>
      <c r="M151" s="1027">
        <f>'General Assumptions'!$C$24/'General Assumptions'!$C$22</f>
        <v>0.5714285714285714</v>
      </c>
      <c r="N151" s="1032" t="e">
        <f ca="1">ROUNDUP(SQRT((2*F151*'General Assumptions'!$C$19*'General Assumptions'!$C$25)/(C151*'General Assumptions'!$C$20)),0)</f>
        <v>#NAME?</v>
      </c>
      <c r="O151" s="1033" t="e">
        <f t="shared" ref="O151:O164" ca="1" si="41">ROUNDUP(N151/2,0)</f>
        <v>#NAME?</v>
      </c>
      <c r="P151" s="1033" t="e">
        <f t="shared" ref="P151:P164" ca="1" si="42">ROUNDUP($I$146*SQRT((I151*G151^2)+(F151^2)*(L151^2)),0)</f>
        <v>#NAME?</v>
      </c>
      <c r="Q151" s="1032" t="e">
        <f t="shared" ref="Q151:Q164" ca="1" si="43">ROUNDUP(F151*M151,0)</f>
        <v>#NAME?</v>
      </c>
      <c r="R151" s="1033" t="e">
        <f t="shared" ca="1" si="38"/>
        <v>#NAME?</v>
      </c>
      <c r="S151" s="1034" t="e">
        <f t="shared" ca="1" si="39"/>
        <v>#NAME?</v>
      </c>
      <c r="T151" s="1061" t="e">
        <f ca="1">ROUNDUP(SQRT((2*('General Assumptions'!$C$19*F151)*'General Assumptions'!$C$25)/$L$137),0)</f>
        <v>#NAME?</v>
      </c>
      <c r="U151" s="1062" t="e">
        <f ca="1">ROUNDUP((F151*'General Assumptions'!$C$19)/T151,0)</f>
        <v>#NAME?</v>
      </c>
      <c r="W151" s="1060"/>
      <c r="X151" s="776"/>
      <c r="Y151" s="776"/>
    </row>
    <row r="152" spans="2:25" x14ac:dyDescent="0.2">
      <c r="B152" s="1036" t="s">
        <v>247</v>
      </c>
      <c r="C152" s="1029">
        <f>$H$15</f>
        <v>0.4</v>
      </c>
      <c r="D152" s="1030">
        <f>$L$15</f>
        <v>4</v>
      </c>
      <c r="E152" s="1029" t="e">
        <f ca="1">M$15</f>
        <v>#NAME?</v>
      </c>
      <c r="F152" s="1031" t="e">
        <f t="shared" ca="1" si="40"/>
        <v>#NAME?</v>
      </c>
      <c r="G152" s="1027" t="e">
        <f ca="1">D152*$C$145</f>
        <v>#NAME?</v>
      </c>
      <c r="H152" s="1027">
        <f>'General Assumptions'!$C$23/'General Assumptions'!$C$22</f>
        <v>4.2857142857142856</v>
      </c>
      <c r="I152" s="1027">
        <f>0.8*H152</f>
        <v>3.4285714285714288</v>
      </c>
      <c r="J152" s="1027">
        <f>2*H152</f>
        <v>8.5714285714285712</v>
      </c>
      <c r="K152" s="1027">
        <f>(I152+4*H152+J152)/6</f>
        <v>4.8571428571428568</v>
      </c>
      <c r="L152" s="1027">
        <f>(J152-I152)/6</f>
        <v>0.8571428571428571</v>
      </c>
      <c r="M152" s="1027">
        <f>'General Assumptions'!$C$24/'General Assumptions'!$C$22</f>
        <v>0.5714285714285714</v>
      </c>
      <c r="N152" s="1032" t="e">
        <f ca="1">ROUNDUP(SQRT((2*F152*'General Assumptions'!$C$19*'General Assumptions'!$C$25)/(C152*'General Assumptions'!$C$20)),0)</f>
        <v>#NAME?</v>
      </c>
      <c r="O152" s="1033" t="e">
        <f t="shared" ca="1" si="41"/>
        <v>#NAME?</v>
      </c>
      <c r="P152" s="1033" t="e">
        <f t="shared" ca="1" si="42"/>
        <v>#NAME?</v>
      </c>
      <c r="Q152" s="1032" t="e">
        <f t="shared" ca="1" si="43"/>
        <v>#NAME?</v>
      </c>
      <c r="R152" s="1033" t="e">
        <f ca="1">SUM(O152:Q152)</f>
        <v>#NAME?</v>
      </c>
      <c r="S152" s="1034" t="e">
        <f ca="1">R152*C152</f>
        <v>#NAME?</v>
      </c>
      <c r="T152" s="1061" t="e">
        <f ca="1">ROUNDUP(SQRT((2*('General Assumptions'!$C$19*F152)*'General Assumptions'!$C$25)/$L$137),0)</f>
        <v>#NAME?</v>
      </c>
      <c r="U152" s="1062" t="e">
        <f ca="1">ROUNDUP((F152*'General Assumptions'!$C$19)/T152,0)</f>
        <v>#NAME?</v>
      </c>
      <c r="W152" s="1060"/>
      <c r="X152" s="776"/>
      <c r="Y152" s="776"/>
    </row>
    <row r="153" spans="2:25" x14ac:dyDescent="0.2">
      <c r="B153" s="1036" t="s">
        <v>343</v>
      </c>
      <c r="C153" s="1029">
        <f>$H$16</f>
        <v>6.75</v>
      </c>
      <c r="D153" s="1030">
        <f>$L$16</f>
        <v>0.57253801085568334</v>
      </c>
      <c r="E153" s="1029" t="e">
        <f ca="1">M$16</f>
        <v>#NAME?</v>
      </c>
      <c r="F153" s="1031" t="e">
        <f t="shared" ca="1" si="40"/>
        <v>#NAME?</v>
      </c>
      <c r="G153" s="1027" t="e">
        <f t="shared" ref="G153:G164" ca="1" si="44">D153*$C$145</f>
        <v>#NAME?</v>
      </c>
      <c r="H153" s="1027">
        <f>'General Assumptions'!$C$24/'General Assumptions'!$C$22</f>
        <v>0.5714285714285714</v>
      </c>
      <c r="I153" s="1027">
        <f t="shared" ref="I153:I164" si="45">0.8*H153</f>
        <v>0.45714285714285713</v>
      </c>
      <c r="J153" s="1027">
        <f t="shared" ref="J153:J164" si="46">2*H153</f>
        <v>1.1428571428571428</v>
      </c>
      <c r="K153" s="1027">
        <f t="shared" ref="K153:K164" si="47">(I153+4*H153+J153)/6</f>
        <v>0.64761904761904765</v>
      </c>
      <c r="L153" s="1027">
        <f t="shared" ref="L153:L164" si="48">(J153-I153)/6</f>
        <v>0.11428571428571428</v>
      </c>
      <c r="M153" s="1027">
        <f>'General Assumptions'!$C$24/'General Assumptions'!$C$22</f>
        <v>0.5714285714285714</v>
      </c>
      <c r="N153" s="1032" t="e">
        <f ca="1">ROUNDUP(SQRT((2*F153*'General Assumptions'!$C$19*'General Assumptions'!$C$25)/(C153*'General Assumptions'!$C$20)),0)</f>
        <v>#NAME?</v>
      </c>
      <c r="O153" s="1033" t="e">
        <f t="shared" ca="1" si="41"/>
        <v>#NAME?</v>
      </c>
      <c r="P153" s="1033" t="e">
        <f t="shared" ca="1" si="42"/>
        <v>#NAME?</v>
      </c>
      <c r="Q153" s="1032" t="e">
        <f t="shared" ca="1" si="43"/>
        <v>#NAME?</v>
      </c>
      <c r="R153" s="1033" t="e">
        <f t="shared" ref="R153:R164" ca="1" si="49">SUM(O153:Q153)</f>
        <v>#NAME?</v>
      </c>
      <c r="S153" s="1034" t="e">
        <f t="shared" ca="1" si="39"/>
        <v>#NAME?</v>
      </c>
      <c r="T153" s="1061" t="e">
        <f ca="1">ROUNDUP(SQRT((2*('General Assumptions'!$C$19*F153)*'General Assumptions'!$C$25)/$L$137),0)</f>
        <v>#NAME?</v>
      </c>
      <c r="U153" s="1062" t="e">
        <f ca="1">ROUNDUP((F153*'General Assumptions'!$C$19)/T153,0)</f>
        <v>#NAME?</v>
      </c>
      <c r="W153" s="1060"/>
      <c r="X153" s="776"/>
      <c r="Y153" s="776"/>
    </row>
    <row r="154" spans="2:25" x14ac:dyDescent="0.2">
      <c r="B154" s="1038" t="s">
        <v>255</v>
      </c>
      <c r="C154" s="1029">
        <f>$H$17</f>
        <v>4</v>
      </c>
      <c r="D154" s="1030">
        <f>$L$17</f>
        <v>1</v>
      </c>
      <c r="E154" s="1029" t="e">
        <f ca="1">M$17</f>
        <v>#NAME?</v>
      </c>
      <c r="F154" s="1031" t="e">
        <f t="shared" ca="1" si="40"/>
        <v>#NAME?</v>
      </c>
      <c r="G154" s="1027" t="e">
        <f t="shared" ca="1" si="44"/>
        <v>#NAME?</v>
      </c>
      <c r="H154" s="1027">
        <f>'General Assumptions'!$C$23/'General Assumptions'!$C$22</f>
        <v>4.2857142857142856</v>
      </c>
      <c r="I154" s="1027">
        <f t="shared" si="45"/>
        <v>3.4285714285714288</v>
      </c>
      <c r="J154" s="1027">
        <f t="shared" si="46"/>
        <v>8.5714285714285712</v>
      </c>
      <c r="K154" s="1027">
        <f t="shared" si="47"/>
        <v>4.8571428571428568</v>
      </c>
      <c r="L154" s="1027">
        <f t="shared" si="48"/>
        <v>0.8571428571428571</v>
      </c>
      <c r="M154" s="1027">
        <f>'General Assumptions'!$C$24/'General Assumptions'!$C$22</f>
        <v>0.5714285714285714</v>
      </c>
      <c r="N154" s="1032" t="e">
        <f ca="1">ROUNDUP(SQRT((2*F154*'General Assumptions'!$C$19*'General Assumptions'!$C$25)/(C154*'General Assumptions'!$C$20)),0)</f>
        <v>#NAME?</v>
      </c>
      <c r="O154" s="1033" t="e">
        <f t="shared" ca="1" si="41"/>
        <v>#NAME?</v>
      </c>
      <c r="P154" s="1033" t="e">
        <f t="shared" ca="1" si="42"/>
        <v>#NAME?</v>
      </c>
      <c r="Q154" s="1032" t="e">
        <f t="shared" ca="1" si="43"/>
        <v>#NAME?</v>
      </c>
      <c r="R154" s="1033" t="e">
        <f t="shared" ca="1" si="49"/>
        <v>#NAME?</v>
      </c>
      <c r="S154" s="1034" t="e">
        <f t="shared" ca="1" si="39"/>
        <v>#NAME?</v>
      </c>
      <c r="T154" s="1061" t="e">
        <f ca="1">ROUNDUP(SQRT((2*('General Assumptions'!$C$19*F154)*'General Assumptions'!$C$25)/$L$137),0)</f>
        <v>#NAME?</v>
      </c>
      <c r="U154" s="1062" t="e">
        <f ca="1">ROUNDUP((F154*'General Assumptions'!$C$19)/T154,0)</f>
        <v>#NAME?</v>
      </c>
      <c r="W154" s="1060"/>
      <c r="X154" s="776"/>
      <c r="Y154" s="776"/>
    </row>
    <row r="155" spans="2:25" x14ac:dyDescent="0.2">
      <c r="B155" s="1036" t="s">
        <v>258</v>
      </c>
      <c r="C155" s="1029">
        <f>$H$18</f>
        <v>4.5</v>
      </c>
      <c r="D155" s="1030">
        <f>$L$18</f>
        <v>1</v>
      </c>
      <c r="E155" s="1029" t="e">
        <f ca="1">M$18</f>
        <v>#NAME?</v>
      </c>
      <c r="F155" s="1031" t="e">
        <f t="shared" ca="1" si="40"/>
        <v>#NAME?</v>
      </c>
      <c r="G155" s="1027" t="e">
        <f t="shared" ca="1" si="44"/>
        <v>#NAME?</v>
      </c>
      <c r="H155" s="1027">
        <f>'General Assumptions'!$C$23/'General Assumptions'!$C$22</f>
        <v>4.2857142857142856</v>
      </c>
      <c r="I155" s="1027">
        <f t="shared" si="45"/>
        <v>3.4285714285714288</v>
      </c>
      <c r="J155" s="1027">
        <f t="shared" si="46"/>
        <v>8.5714285714285712</v>
      </c>
      <c r="K155" s="1027">
        <f t="shared" si="47"/>
        <v>4.8571428571428568</v>
      </c>
      <c r="L155" s="1027">
        <f t="shared" si="48"/>
        <v>0.8571428571428571</v>
      </c>
      <c r="M155" s="1027">
        <f>'General Assumptions'!$C$24/'General Assumptions'!$C$22</f>
        <v>0.5714285714285714</v>
      </c>
      <c r="N155" s="1032" t="e">
        <f ca="1">ROUNDUP(SQRT((2*F155*'General Assumptions'!$C$19*'General Assumptions'!$C$25)/(C155*'General Assumptions'!$C$20)),0)</f>
        <v>#NAME?</v>
      </c>
      <c r="O155" s="1033" t="e">
        <f t="shared" ca="1" si="41"/>
        <v>#NAME?</v>
      </c>
      <c r="P155" s="1033" t="e">
        <f t="shared" ca="1" si="42"/>
        <v>#NAME?</v>
      </c>
      <c r="Q155" s="1032" t="e">
        <f t="shared" ca="1" si="43"/>
        <v>#NAME?</v>
      </c>
      <c r="R155" s="1033" t="e">
        <f t="shared" ca="1" si="49"/>
        <v>#NAME?</v>
      </c>
      <c r="S155" s="1034" t="e">
        <f t="shared" ca="1" si="39"/>
        <v>#NAME?</v>
      </c>
      <c r="T155" s="1061" t="e">
        <f ca="1">ROUNDUP(SQRT((2*('General Assumptions'!$C$19*F155)*'General Assumptions'!$C$25)/$L$137),0)</f>
        <v>#NAME?</v>
      </c>
      <c r="U155" s="1062" t="e">
        <f ca="1">ROUNDUP((F155*'General Assumptions'!$C$19)/T155,0)</f>
        <v>#NAME?</v>
      </c>
      <c r="W155" s="1060"/>
      <c r="X155" s="776"/>
      <c r="Y155" s="776"/>
    </row>
    <row r="156" spans="2:25" x14ac:dyDescent="0.2">
      <c r="B156" s="1038" t="s">
        <v>262</v>
      </c>
      <c r="C156" s="1029">
        <f>$H$19</f>
        <v>5.8</v>
      </c>
      <c r="D156" s="1030">
        <f>$L$19</f>
        <v>2.5252525252525255E-3</v>
      </c>
      <c r="E156" s="1029" t="e">
        <f ca="1">M$19</f>
        <v>#NAME?</v>
      </c>
      <c r="F156" s="1031" t="e">
        <f t="shared" ca="1" si="40"/>
        <v>#NAME?</v>
      </c>
      <c r="G156" s="1027" t="e">
        <f t="shared" ca="1" si="44"/>
        <v>#NAME?</v>
      </c>
      <c r="H156" s="1027">
        <f>'General Assumptions'!$C$23/'General Assumptions'!$C$22</f>
        <v>4.2857142857142856</v>
      </c>
      <c r="I156" s="1027">
        <f t="shared" si="45"/>
        <v>3.4285714285714288</v>
      </c>
      <c r="J156" s="1027">
        <f t="shared" si="46"/>
        <v>8.5714285714285712</v>
      </c>
      <c r="K156" s="1027">
        <f t="shared" si="47"/>
        <v>4.8571428571428568</v>
      </c>
      <c r="L156" s="1027">
        <f t="shared" si="48"/>
        <v>0.8571428571428571</v>
      </c>
      <c r="M156" s="1027">
        <f>'General Assumptions'!$C$24/'General Assumptions'!$C$22</f>
        <v>0.5714285714285714</v>
      </c>
      <c r="N156" s="1032" t="e">
        <f ca="1">ROUNDUP(SQRT((2*F156*'General Assumptions'!$C$19*'General Assumptions'!$C$25)/(C156*'General Assumptions'!$C$20)),0)</f>
        <v>#NAME?</v>
      </c>
      <c r="O156" s="1033" t="e">
        <f t="shared" ca="1" si="41"/>
        <v>#NAME?</v>
      </c>
      <c r="P156" s="1033" t="e">
        <f t="shared" ca="1" si="42"/>
        <v>#NAME?</v>
      </c>
      <c r="Q156" s="1032" t="e">
        <f t="shared" ca="1" si="43"/>
        <v>#NAME?</v>
      </c>
      <c r="R156" s="1033" t="e">
        <f t="shared" ca="1" si="49"/>
        <v>#NAME?</v>
      </c>
      <c r="S156" s="1034" t="e">
        <f t="shared" ca="1" si="39"/>
        <v>#NAME?</v>
      </c>
      <c r="T156" s="1061" t="e">
        <f ca="1">ROUNDUP(SQRT((2*('General Assumptions'!$C$19*F156)*'General Assumptions'!$C$25)/$L$137),0)</f>
        <v>#NAME?</v>
      </c>
      <c r="U156" s="1062" t="e">
        <f ca="1">ROUNDUP((F156*'General Assumptions'!$C$19)/T156,0)</f>
        <v>#NAME?</v>
      </c>
      <c r="W156" s="1034"/>
    </row>
    <row r="157" spans="2:25" x14ac:dyDescent="0.2">
      <c r="B157" s="1036" t="s">
        <v>344</v>
      </c>
      <c r="C157" s="1029">
        <f>$H$20</f>
        <v>2.8</v>
      </c>
      <c r="D157" s="1030">
        <f>$L$20</f>
        <v>0.34017112903225799</v>
      </c>
      <c r="E157" s="1029" t="e">
        <f ca="1">M$20</f>
        <v>#NAME?</v>
      </c>
      <c r="F157" s="1031" t="e">
        <f t="shared" ca="1" si="40"/>
        <v>#NAME?</v>
      </c>
      <c r="G157" s="1027" t="e">
        <f t="shared" ca="1" si="44"/>
        <v>#NAME?</v>
      </c>
      <c r="H157" s="1027">
        <f>'General Assumptions'!$C$23/'General Assumptions'!$C$22</f>
        <v>4.2857142857142856</v>
      </c>
      <c r="I157" s="1027">
        <f t="shared" si="45"/>
        <v>3.4285714285714288</v>
      </c>
      <c r="J157" s="1027">
        <f t="shared" si="46"/>
        <v>8.5714285714285712</v>
      </c>
      <c r="K157" s="1027">
        <f t="shared" si="47"/>
        <v>4.8571428571428568</v>
      </c>
      <c r="L157" s="1027">
        <f t="shared" si="48"/>
        <v>0.8571428571428571</v>
      </c>
      <c r="M157" s="1027">
        <f>'General Assumptions'!$C$24/'General Assumptions'!$C$22</f>
        <v>0.5714285714285714</v>
      </c>
      <c r="N157" s="1032" t="e">
        <f ca="1">ROUNDUP(SQRT((2*F157*'General Assumptions'!$C$19*'General Assumptions'!$C$25)/(C157*'General Assumptions'!$C$20)),0)</f>
        <v>#NAME?</v>
      </c>
      <c r="O157" s="1033" t="e">
        <f t="shared" ca="1" si="41"/>
        <v>#NAME?</v>
      </c>
      <c r="P157" s="1033" t="e">
        <f t="shared" ca="1" si="42"/>
        <v>#NAME?</v>
      </c>
      <c r="Q157" s="1032" t="e">
        <f t="shared" ca="1" si="43"/>
        <v>#NAME?</v>
      </c>
      <c r="R157" s="1033" t="e">
        <f t="shared" ca="1" si="49"/>
        <v>#NAME?</v>
      </c>
      <c r="S157" s="1034" t="e">
        <f t="shared" ca="1" si="39"/>
        <v>#NAME?</v>
      </c>
      <c r="T157" s="1061" t="e">
        <f ca="1">ROUNDUP(SQRT((2*('General Assumptions'!$C$19*F157)*'General Assumptions'!$C$25)/$L$137),0)</f>
        <v>#NAME?</v>
      </c>
      <c r="U157" s="1062" t="e">
        <f ca="1">ROUNDUP((F157*'General Assumptions'!$C$19)/T157,0)</f>
        <v>#NAME?</v>
      </c>
      <c r="W157" s="1034"/>
    </row>
    <row r="158" spans="2:25" x14ac:dyDescent="0.2">
      <c r="B158" s="1036" t="s">
        <v>268</v>
      </c>
      <c r="C158" s="1029">
        <f>$H$21</f>
        <v>5</v>
      </c>
      <c r="D158" s="1030">
        <f>$L$21</f>
        <v>1.4693010726845441</v>
      </c>
      <c r="E158" s="1029" t="e">
        <f ca="1">M$21</f>
        <v>#NAME?</v>
      </c>
      <c r="F158" s="1031" t="e">
        <f t="shared" ca="1" si="40"/>
        <v>#NAME?</v>
      </c>
      <c r="G158" s="1027" t="e">
        <f t="shared" ca="1" si="44"/>
        <v>#NAME?</v>
      </c>
      <c r="H158" s="1027">
        <f>'General Assumptions'!$C$23/'General Assumptions'!$C$22</f>
        <v>4.2857142857142856</v>
      </c>
      <c r="I158" s="1027">
        <f t="shared" si="45"/>
        <v>3.4285714285714288</v>
      </c>
      <c r="J158" s="1027">
        <f t="shared" si="46"/>
        <v>8.5714285714285712</v>
      </c>
      <c r="K158" s="1027">
        <f t="shared" si="47"/>
        <v>4.8571428571428568</v>
      </c>
      <c r="L158" s="1027">
        <f t="shared" si="48"/>
        <v>0.8571428571428571</v>
      </c>
      <c r="M158" s="1027">
        <f>'General Assumptions'!$C$24/'General Assumptions'!$C$22</f>
        <v>0.5714285714285714</v>
      </c>
      <c r="N158" s="1032" t="e">
        <f ca="1">ROUNDUP(SQRT((2*F158*'General Assumptions'!$C$19*'General Assumptions'!$C$25)/(C158*'General Assumptions'!$C$20)),0)</f>
        <v>#NAME?</v>
      </c>
      <c r="O158" s="1033" t="e">
        <f t="shared" ca="1" si="41"/>
        <v>#NAME?</v>
      </c>
      <c r="P158" s="1033" t="e">
        <f t="shared" ca="1" si="42"/>
        <v>#NAME?</v>
      </c>
      <c r="Q158" s="1032" t="e">
        <f t="shared" ca="1" si="43"/>
        <v>#NAME?</v>
      </c>
      <c r="R158" s="1033" t="e">
        <f t="shared" ca="1" si="49"/>
        <v>#NAME?</v>
      </c>
      <c r="S158" s="1034" t="e">
        <f t="shared" ca="1" si="39"/>
        <v>#NAME?</v>
      </c>
      <c r="T158" s="1061" t="e">
        <f ca="1">ROUNDUP(SQRT((2*('General Assumptions'!$C$19*F158)*'General Assumptions'!$C$25)/$L$137),0)</f>
        <v>#NAME?</v>
      </c>
      <c r="U158" s="1062" t="e">
        <f ca="1">ROUNDUP((F158*'General Assumptions'!$C$19)/T158,0)</f>
        <v>#NAME?</v>
      </c>
      <c r="W158" s="1034"/>
    </row>
    <row r="159" spans="2:25" x14ac:dyDescent="0.2">
      <c r="B159" s="1036" t="s">
        <v>272</v>
      </c>
      <c r="C159" s="1029">
        <f>$H$22</f>
        <v>0.25</v>
      </c>
      <c r="D159" s="1030">
        <f>$L$22</f>
        <v>2</v>
      </c>
      <c r="E159" s="1029" t="e">
        <f ca="1">M$22</f>
        <v>#NAME?</v>
      </c>
      <c r="F159" s="1031" t="e">
        <f t="shared" ca="1" si="40"/>
        <v>#NAME?</v>
      </c>
      <c r="G159" s="1027" t="e">
        <f t="shared" ca="1" si="44"/>
        <v>#NAME?</v>
      </c>
      <c r="H159" s="1027">
        <f>'General Assumptions'!$C$23/'General Assumptions'!$C$22</f>
        <v>4.2857142857142856</v>
      </c>
      <c r="I159" s="1027">
        <f t="shared" si="45"/>
        <v>3.4285714285714288</v>
      </c>
      <c r="J159" s="1027">
        <f t="shared" si="46"/>
        <v>8.5714285714285712</v>
      </c>
      <c r="K159" s="1027">
        <f t="shared" si="47"/>
        <v>4.8571428571428568</v>
      </c>
      <c r="L159" s="1027">
        <f t="shared" si="48"/>
        <v>0.8571428571428571</v>
      </c>
      <c r="M159" s="1027">
        <f>'General Assumptions'!$C$24/'General Assumptions'!$C$22</f>
        <v>0.5714285714285714</v>
      </c>
      <c r="N159" s="1032" t="e">
        <f ca="1">ROUNDUP(SQRT((2*F159*'General Assumptions'!$C$19*'General Assumptions'!$C$25)/(C159*'General Assumptions'!$C$20)),0)</f>
        <v>#NAME?</v>
      </c>
      <c r="O159" s="1033" t="e">
        <f t="shared" ca="1" si="41"/>
        <v>#NAME?</v>
      </c>
      <c r="P159" s="1033" t="e">
        <f t="shared" ca="1" si="42"/>
        <v>#NAME?</v>
      </c>
      <c r="Q159" s="1032" t="e">
        <f t="shared" ca="1" si="43"/>
        <v>#NAME?</v>
      </c>
      <c r="R159" s="1033" t="e">
        <f t="shared" ca="1" si="49"/>
        <v>#NAME?</v>
      </c>
      <c r="S159" s="1034" t="e">
        <f t="shared" ca="1" si="39"/>
        <v>#NAME?</v>
      </c>
      <c r="T159" s="1061" t="e">
        <f ca="1">ROUNDUP(SQRT((2*('General Assumptions'!$C$19*F159)*'General Assumptions'!$C$25)/$L$137),0)</f>
        <v>#NAME?</v>
      </c>
      <c r="U159" s="1062" t="e">
        <f ca="1">ROUNDUP((F159*'General Assumptions'!$C$19)/T159,0)</f>
        <v>#NAME?</v>
      </c>
      <c r="W159" s="1034"/>
    </row>
    <row r="160" spans="2:25" x14ac:dyDescent="0.2">
      <c r="B160" s="1036" t="s">
        <v>276</v>
      </c>
      <c r="C160" s="1029">
        <f>$H$23</f>
        <v>0.05</v>
      </c>
      <c r="D160" s="1030">
        <f>$L$23</f>
        <v>0.91439950622426658</v>
      </c>
      <c r="E160" s="1029" t="e">
        <f ca="1">M$23</f>
        <v>#NAME?</v>
      </c>
      <c r="F160" s="1031" t="e">
        <f t="shared" ca="1" si="40"/>
        <v>#NAME?</v>
      </c>
      <c r="G160" s="1027" t="e">
        <f t="shared" ca="1" si="44"/>
        <v>#NAME?</v>
      </c>
      <c r="H160" s="1027">
        <f>'General Assumptions'!$C$23/'General Assumptions'!$C$22</f>
        <v>4.2857142857142856</v>
      </c>
      <c r="I160" s="1027">
        <f t="shared" si="45"/>
        <v>3.4285714285714288</v>
      </c>
      <c r="J160" s="1027">
        <f t="shared" si="46"/>
        <v>8.5714285714285712</v>
      </c>
      <c r="K160" s="1027">
        <f t="shared" si="47"/>
        <v>4.8571428571428568</v>
      </c>
      <c r="L160" s="1027">
        <f t="shared" si="48"/>
        <v>0.8571428571428571</v>
      </c>
      <c r="M160" s="1027">
        <f>'General Assumptions'!$C$24/'General Assumptions'!$C$22</f>
        <v>0.5714285714285714</v>
      </c>
      <c r="N160" s="1032" t="e">
        <f ca="1">ROUNDUP(SQRT((2*F160*'General Assumptions'!$C$19*'General Assumptions'!$C$25)/(C160*'General Assumptions'!$C$20)),0)</f>
        <v>#NAME?</v>
      </c>
      <c r="O160" s="1033" t="e">
        <f t="shared" ca="1" si="41"/>
        <v>#NAME?</v>
      </c>
      <c r="P160" s="1033" t="e">
        <f t="shared" ca="1" si="42"/>
        <v>#NAME?</v>
      </c>
      <c r="Q160" s="1032" t="e">
        <f t="shared" ca="1" si="43"/>
        <v>#NAME?</v>
      </c>
      <c r="R160" s="1033" t="e">
        <f t="shared" ca="1" si="49"/>
        <v>#NAME?</v>
      </c>
      <c r="S160" s="1034" t="e">
        <f t="shared" ca="1" si="39"/>
        <v>#NAME?</v>
      </c>
      <c r="T160" s="1061" t="e">
        <f ca="1">ROUNDUP(SQRT((2*('General Assumptions'!$C$19*F160)*'General Assumptions'!$C$25)/$L$137),0)</f>
        <v>#NAME?</v>
      </c>
      <c r="U160" s="1062" t="e">
        <f ca="1">ROUNDUP((F160*'General Assumptions'!$C$19)/T160,0)</f>
        <v>#NAME?</v>
      </c>
      <c r="W160" s="1034"/>
    </row>
    <row r="161" spans="1:23" x14ac:dyDescent="0.2">
      <c r="B161" s="1036" t="s">
        <v>279</v>
      </c>
      <c r="C161" s="1029">
        <f>$H$24</f>
        <v>1.8</v>
      </c>
      <c r="D161" s="1030">
        <f>$L$24</f>
        <v>0.69975730167128702</v>
      </c>
      <c r="E161" s="1029" t="e">
        <f ca="1">M$24</f>
        <v>#NAME?</v>
      </c>
      <c r="F161" s="1031" t="e">
        <f t="shared" ca="1" si="40"/>
        <v>#NAME?</v>
      </c>
      <c r="G161" s="1027" t="e">
        <f t="shared" ca="1" si="44"/>
        <v>#NAME?</v>
      </c>
      <c r="H161" s="1027">
        <f>'General Assumptions'!$C$23/'General Assumptions'!$C$22</f>
        <v>4.2857142857142856</v>
      </c>
      <c r="I161" s="1027">
        <f t="shared" si="45"/>
        <v>3.4285714285714288</v>
      </c>
      <c r="J161" s="1027">
        <f t="shared" si="46"/>
        <v>8.5714285714285712</v>
      </c>
      <c r="K161" s="1027">
        <f t="shared" si="47"/>
        <v>4.8571428571428568</v>
      </c>
      <c r="L161" s="1027">
        <f t="shared" si="48"/>
        <v>0.8571428571428571</v>
      </c>
      <c r="M161" s="1027">
        <f>'General Assumptions'!$C$24/'General Assumptions'!$C$22</f>
        <v>0.5714285714285714</v>
      </c>
      <c r="N161" s="1032" t="e">
        <f ca="1">ROUNDUP(SQRT((2*F161*'General Assumptions'!$C$19*'General Assumptions'!$C$25)/(C161*'General Assumptions'!$C$20)),0)</f>
        <v>#NAME?</v>
      </c>
      <c r="O161" s="1033" t="e">
        <f t="shared" ca="1" si="41"/>
        <v>#NAME?</v>
      </c>
      <c r="P161" s="1033" t="e">
        <f t="shared" ca="1" si="42"/>
        <v>#NAME?</v>
      </c>
      <c r="Q161" s="1032" t="e">
        <f t="shared" ca="1" si="43"/>
        <v>#NAME?</v>
      </c>
      <c r="R161" s="1033" t="e">
        <f t="shared" ca="1" si="49"/>
        <v>#NAME?</v>
      </c>
      <c r="S161" s="1034" t="e">
        <f t="shared" ca="1" si="39"/>
        <v>#NAME?</v>
      </c>
      <c r="T161" s="1061" t="e">
        <f ca="1">ROUNDUP(SQRT((2*('General Assumptions'!$C$19*F161)*'General Assumptions'!$C$25)/$L$137),0)</f>
        <v>#NAME?</v>
      </c>
      <c r="U161" s="1062" t="e">
        <f ca="1">ROUNDUP((F161*'General Assumptions'!$C$19)/T161,0)</f>
        <v>#NAME?</v>
      </c>
      <c r="W161" s="1034"/>
    </row>
    <row r="162" spans="1:23" x14ac:dyDescent="0.2">
      <c r="B162" s="1036" t="s">
        <v>282</v>
      </c>
      <c r="C162" s="1029">
        <f>$H$25</f>
        <v>3</v>
      </c>
      <c r="D162" s="1030">
        <f>$L$25</f>
        <v>9.8254910065803294E-2</v>
      </c>
      <c r="E162" s="1029" t="e">
        <f ca="1">M$25</f>
        <v>#NAME?</v>
      </c>
      <c r="F162" s="1031" t="e">
        <f t="shared" ca="1" si="40"/>
        <v>#NAME?</v>
      </c>
      <c r="G162" s="1027" t="e">
        <f t="shared" ca="1" si="44"/>
        <v>#NAME?</v>
      </c>
      <c r="H162" s="1027">
        <f>'General Assumptions'!$C$23/'General Assumptions'!$C$22</f>
        <v>4.2857142857142856</v>
      </c>
      <c r="I162" s="1027">
        <f t="shared" si="45"/>
        <v>3.4285714285714288</v>
      </c>
      <c r="J162" s="1027">
        <f t="shared" si="46"/>
        <v>8.5714285714285712</v>
      </c>
      <c r="K162" s="1027">
        <f t="shared" si="47"/>
        <v>4.8571428571428568</v>
      </c>
      <c r="L162" s="1027">
        <f t="shared" si="48"/>
        <v>0.8571428571428571</v>
      </c>
      <c r="M162" s="1027">
        <f>'General Assumptions'!$C$24/'General Assumptions'!$C$22</f>
        <v>0.5714285714285714</v>
      </c>
      <c r="N162" s="1032" t="e">
        <f ca="1">ROUNDUP(SQRT((2*F162*'General Assumptions'!$C$19*'General Assumptions'!$C$25)/(C162*'General Assumptions'!$C$20)),0)</f>
        <v>#NAME?</v>
      </c>
      <c r="O162" s="1033" t="e">
        <f t="shared" ca="1" si="41"/>
        <v>#NAME?</v>
      </c>
      <c r="P162" s="1033" t="e">
        <f t="shared" ca="1" si="42"/>
        <v>#NAME?</v>
      </c>
      <c r="Q162" s="1032" t="e">
        <f t="shared" ca="1" si="43"/>
        <v>#NAME?</v>
      </c>
      <c r="R162" s="1033" t="e">
        <f t="shared" ca="1" si="49"/>
        <v>#NAME?</v>
      </c>
      <c r="S162" s="1034" t="e">
        <f t="shared" ca="1" si="39"/>
        <v>#NAME?</v>
      </c>
      <c r="T162" s="1061" t="e">
        <f ca="1">ROUNDUP(SQRT((2*('General Assumptions'!$C$19*F162)*'General Assumptions'!$C$25)/$L$137),0)</f>
        <v>#NAME?</v>
      </c>
      <c r="U162" s="1062" t="e">
        <f ca="1">ROUNDUP((F162*'General Assumptions'!$C$19)/T162,0)</f>
        <v>#NAME?</v>
      </c>
      <c r="W162" s="1034"/>
    </row>
    <row r="163" spans="1:23" x14ac:dyDescent="0.2">
      <c r="B163" s="1036" t="s">
        <v>286</v>
      </c>
      <c r="C163" s="1029">
        <f>$H$26</f>
        <v>0.1</v>
      </c>
      <c r="D163" s="1030">
        <f>$L$26</f>
        <v>4.6651138808385042</v>
      </c>
      <c r="E163" s="1029" t="e">
        <f ca="1">M$26</f>
        <v>#NAME?</v>
      </c>
      <c r="F163" s="1031" t="e">
        <f t="shared" ca="1" si="40"/>
        <v>#NAME?</v>
      </c>
      <c r="G163" s="1027" t="e">
        <f t="shared" ca="1" si="44"/>
        <v>#NAME?</v>
      </c>
      <c r="H163" s="1027">
        <f>'General Assumptions'!$C$23/'General Assumptions'!$C$22</f>
        <v>4.2857142857142856</v>
      </c>
      <c r="I163" s="1027">
        <f t="shared" si="45"/>
        <v>3.4285714285714288</v>
      </c>
      <c r="J163" s="1027">
        <f t="shared" si="46"/>
        <v>8.5714285714285712</v>
      </c>
      <c r="K163" s="1027">
        <f t="shared" si="47"/>
        <v>4.8571428571428568</v>
      </c>
      <c r="L163" s="1027">
        <f t="shared" si="48"/>
        <v>0.8571428571428571</v>
      </c>
      <c r="M163" s="1027">
        <f>'General Assumptions'!$C$24/'General Assumptions'!$C$22</f>
        <v>0.5714285714285714</v>
      </c>
      <c r="N163" s="1032" t="e">
        <f ca="1">ROUNDUP(SQRT((2*F163*'General Assumptions'!$C$19*'General Assumptions'!$C$25)/(C163*'General Assumptions'!$C$20)),0)</f>
        <v>#NAME?</v>
      </c>
      <c r="O163" s="1033" t="e">
        <f t="shared" ca="1" si="41"/>
        <v>#NAME?</v>
      </c>
      <c r="P163" s="1033" t="e">
        <f t="shared" ca="1" si="42"/>
        <v>#NAME?</v>
      </c>
      <c r="Q163" s="1032" t="e">
        <f t="shared" ca="1" si="43"/>
        <v>#NAME?</v>
      </c>
      <c r="R163" s="1033" t="e">
        <f t="shared" ca="1" si="49"/>
        <v>#NAME?</v>
      </c>
      <c r="S163" s="1034" t="e">
        <f t="shared" ca="1" si="39"/>
        <v>#NAME?</v>
      </c>
      <c r="T163" s="1061" t="e">
        <f ca="1">ROUNDUP(SQRT((2*('General Assumptions'!$C$19*F163)*'General Assumptions'!$C$25)/$L$137),0)</f>
        <v>#NAME?</v>
      </c>
      <c r="U163" s="1062" t="e">
        <f ca="1">ROUNDUP((F163*'General Assumptions'!$C$19)/T163,0)</f>
        <v>#NAME?</v>
      </c>
      <c r="W163" s="1034"/>
    </row>
    <row r="164" spans="1:23" x14ac:dyDescent="0.2">
      <c r="B164" s="1039" t="s">
        <v>290</v>
      </c>
      <c r="C164" s="1040">
        <f>$H$27</f>
        <v>0.12</v>
      </c>
      <c r="D164" s="1041">
        <f>$L$27</f>
        <v>0.33337481997759721</v>
      </c>
      <c r="E164" s="1040" t="e">
        <f ca="1">M$27</f>
        <v>#NAME?</v>
      </c>
      <c r="F164" s="1042" t="e">
        <f t="shared" ca="1" si="40"/>
        <v>#NAME?</v>
      </c>
      <c r="G164" s="1043" t="e">
        <f t="shared" ca="1" si="44"/>
        <v>#NAME?</v>
      </c>
      <c r="H164" s="1043">
        <f>'General Assumptions'!$C$23/'General Assumptions'!$C$22</f>
        <v>4.2857142857142856</v>
      </c>
      <c r="I164" s="1043">
        <f t="shared" si="45"/>
        <v>3.4285714285714288</v>
      </c>
      <c r="J164" s="1043">
        <f t="shared" si="46"/>
        <v>8.5714285714285712</v>
      </c>
      <c r="K164" s="1043">
        <f t="shared" si="47"/>
        <v>4.8571428571428568</v>
      </c>
      <c r="L164" s="1043">
        <f t="shared" si="48"/>
        <v>0.8571428571428571</v>
      </c>
      <c r="M164" s="1043">
        <f>'General Assumptions'!$C$24/'General Assumptions'!$C$22</f>
        <v>0.5714285714285714</v>
      </c>
      <c r="N164" s="1044" t="e">
        <f ca="1">ROUNDUP(SQRT((2*F164*'General Assumptions'!$C$19*'General Assumptions'!$C$25)/(C164*'General Assumptions'!$C$20)),0)</f>
        <v>#NAME?</v>
      </c>
      <c r="O164" s="1045" t="e">
        <f t="shared" ca="1" si="41"/>
        <v>#NAME?</v>
      </c>
      <c r="P164" s="1045" t="e">
        <f t="shared" ca="1" si="42"/>
        <v>#NAME?</v>
      </c>
      <c r="Q164" s="1044" t="e">
        <f t="shared" ca="1" si="43"/>
        <v>#NAME?</v>
      </c>
      <c r="R164" s="1045" t="e">
        <f t="shared" ca="1" si="49"/>
        <v>#NAME?</v>
      </c>
      <c r="S164" s="1046" t="e">
        <f t="shared" ca="1" si="39"/>
        <v>#NAME?</v>
      </c>
      <c r="T164" s="1063" t="e">
        <f ca="1">ROUNDUP(SQRT((2*('General Assumptions'!$C$19*F164)*'General Assumptions'!$C$25)/$L$137),0)</f>
        <v>#NAME?</v>
      </c>
      <c r="U164" s="1064" t="e">
        <f ca="1">ROUNDUP((F164*'General Assumptions'!$C$19)/T164,0)</f>
        <v>#NAME?</v>
      </c>
      <c r="W164" s="1034"/>
    </row>
    <row r="165" spans="1:23" x14ac:dyDescent="0.2">
      <c r="B165" s="1016"/>
      <c r="C165" s="1016"/>
      <c r="D165" s="1016"/>
      <c r="E165" s="1016"/>
      <c r="F165" s="1016"/>
      <c r="G165" s="1016"/>
      <c r="H165" s="1016"/>
      <c r="I165" s="1016"/>
      <c r="J165" s="996"/>
      <c r="K165" s="996"/>
      <c r="L165" s="996"/>
      <c r="M165" s="996"/>
      <c r="N165" s="996"/>
      <c r="O165" s="996"/>
      <c r="P165" s="996"/>
      <c r="Q165" s="996"/>
      <c r="R165" s="996"/>
      <c r="S165" s="996"/>
      <c r="T165" s="996"/>
    </row>
    <row r="166" spans="1:23" s="1005" customFormat="1" ht="1.25" customHeight="1" x14ac:dyDescent="0.2">
      <c r="A166" s="1002"/>
      <c r="B166" s="1058"/>
      <c r="C166" s="1058"/>
      <c r="D166" s="1058"/>
      <c r="E166" s="1058"/>
      <c r="F166" s="1058"/>
      <c r="G166" s="1058"/>
      <c r="H166" s="1058"/>
      <c r="I166" s="1058"/>
      <c r="J166" s="1004"/>
      <c r="K166" s="1004"/>
      <c r="L166" s="1004"/>
      <c r="M166" s="1004"/>
      <c r="N166" s="1004"/>
      <c r="O166" s="1004"/>
      <c r="P166" s="1004"/>
      <c r="Q166" s="1004"/>
      <c r="R166" s="1004"/>
      <c r="S166" s="1004"/>
      <c r="T166" s="1004"/>
    </row>
    <row r="167" spans="1:23" x14ac:dyDescent="0.2">
      <c r="B167" s="1016"/>
      <c r="C167" s="1016"/>
      <c r="D167" s="1016"/>
      <c r="E167" s="1016"/>
      <c r="F167" s="1016"/>
      <c r="G167" s="1016"/>
      <c r="H167" s="1016"/>
      <c r="I167" s="1016"/>
      <c r="J167" s="996"/>
      <c r="K167" s="996"/>
      <c r="L167" s="996"/>
      <c r="M167" s="996"/>
      <c r="N167" s="996"/>
      <c r="O167" s="996"/>
      <c r="P167" s="996"/>
      <c r="Q167" s="996"/>
      <c r="R167" s="996"/>
      <c r="S167" s="996"/>
      <c r="T167" s="996"/>
    </row>
    <row r="168" spans="1:23" x14ac:dyDescent="0.2">
      <c r="B168" s="2870" t="s">
        <v>353</v>
      </c>
      <c r="C168" s="2871"/>
      <c r="D168" s="996"/>
      <c r="E168" s="2874" t="s">
        <v>296</v>
      </c>
      <c r="F168" s="2875"/>
      <c r="G168" s="996"/>
      <c r="H168" s="2878" t="s">
        <v>297</v>
      </c>
      <c r="I168" s="2879"/>
      <c r="J168" s="996"/>
      <c r="K168" s="2878" t="s">
        <v>298</v>
      </c>
      <c r="L168" s="2879"/>
      <c r="M168" s="996"/>
      <c r="N168" s="996"/>
      <c r="O168" s="996"/>
      <c r="P168" s="996"/>
      <c r="Q168" s="996"/>
      <c r="R168" s="996"/>
      <c r="S168" s="996"/>
      <c r="T168" s="996"/>
    </row>
    <row r="169" spans="1:23" x14ac:dyDescent="0.2">
      <c r="B169" s="2872"/>
      <c r="C169" s="2873"/>
      <c r="D169" s="996"/>
      <c r="E169" s="2876"/>
      <c r="F169" s="2877"/>
      <c r="G169" s="996"/>
      <c r="H169" s="2880"/>
      <c r="I169" s="2881"/>
      <c r="J169" s="996"/>
      <c r="K169" s="2880"/>
      <c r="L169" s="2881"/>
      <c r="M169" s="996"/>
      <c r="N169" s="996"/>
      <c r="O169" s="996"/>
      <c r="P169" s="996"/>
      <c r="Q169" s="996"/>
      <c r="R169" s="996"/>
      <c r="S169" s="996"/>
      <c r="T169" s="996"/>
    </row>
    <row r="170" spans="1:23" x14ac:dyDescent="0.2">
      <c r="B170" s="1006" t="s">
        <v>299</v>
      </c>
      <c r="C170" s="1017"/>
      <c r="D170" s="996"/>
      <c r="E170" s="1006" t="s">
        <v>300</v>
      </c>
      <c r="F170" s="1007" t="e">
        <f ca="1">C178/2</f>
        <v>#NAME?</v>
      </c>
      <c r="G170" s="996"/>
      <c r="H170" s="997" t="s">
        <v>301</v>
      </c>
      <c r="I170" s="1635" t="e">
        <f ca="1">SUM(S184:S198)*'Scrap + Defect'!F73</f>
        <v>#NAME?</v>
      </c>
      <c r="J170" s="996"/>
      <c r="K170" s="1020" t="s">
        <v>302</v>
      </c>
      <c r="L170" s="1992">
        <f>'General Assumptions'!C25</f>
        <v>1140</v>
      </c>
      <c r="M170" s="996"/>
      <c r="N170" s="996"/>
      <c r="O170" s="996"/>
      <c r="P170" s="996"/>
      <c r="Q170" s="996"/>
      <c r="R170" s="996"/>
      <c r="S170" s="996"/>
      <c r="T170" s="996"/>
    </row>
    <row r="171" spans="1:23" x14ac:dyDescent="0.2">
      <c r="B171" s="1006" t="s">
        <v>303</v>
      </c>
      <c r="C171" s="1007" t="e">
        <f ca="1">'BASES MODEL (Base Case)'!G37</f>
        <v>#NAME?</v>
      </c>
      <c r="D171" s="996"/>
      <c r="E171" s="1006" t="s">
        <v>304</v>
      </c>
      <c r="F171" s="1055" t="e">
        <f ca="1">ROUNDUP(I180*C179*SQRT('General Assumptions'!$C$21),0)</f>
        <v>#NAME?</v>
      </c>
      <c r="G171" s="996"/>
      <c r="H171" s="997" t="s">
        <v>305</v>
      </c>
      <c r="I171" s="1635" t="e">
        <f ca="1">F177*(SUMPRODUCT(C184:C198,D184:D198)+$C174)/2</f>
        <v>#NAME?</v>
      </c>
      <c r="J171" s="996"/>
      <c r="K171" s="1020" t="s">
        <v>306</v>
      </c>
      <c r="L171" s="1993" t="e">
        <f ca="1">'General Assumptions'!$C$20*C174</f>
        <v>#NAME?</v>
      </c>
      <c r="M171" s="996"/>
      <c r="N171" s="996"/>
      <c r="O171" s="996"/>
      <c r="P171" s="996"/>
      <c r="Q171" s="996"/>
      <c r="R171" s="996"/>
      <c r="S171" s="996"/>
      <c r="T171" s="996"/>
    </row>
    <row r="172" spans="1:23" x14ac:dyDescent="0.2">
      <c r="B172" s="1006" t="s">
        <v>307</v>
      </c>
      <c r="C172" s="1007" t="e">
        <f ca="1">0.5*C171</f>
        <v>#NAME?</v>
      </c>
      <c r="D172" s="996"/>
      <c r="E172" s="1009" t="s">
        <v>308</v>
      </c>
      <c r="F172" s="1011" t="e">
        <f ca="1">F171-F170</f>
        <v>#NAME?</v>
      </c>
      <c r="G172" s="996"/>
      <c r="H172" s="997" t="s">
        <v>309</v>
      </c>
      <c r="I172" s="1635" t="e">
        <f ca="1">F173*$C174</f>
        <v>#NAME?</v>
      </c>
      <c r="J172" s="996"/>
      <c r="K172" s="1001" t="s">
        <v>310</v>
      </c>
      <c r="L172" s="1991" t="e">
        <f ca="1">C171</f>
        <v>#NAME?</v>
      </c>
      <c r="M172" s="996"/>
      <c r="N172" s="996"/>
      <c r="O172" s="996"/>
      <c r="P172" s="996"/>
      <c r="Q172" s="996"/>
      <c r="R172" s="996"/>
      <c r="S172" s="996"/>
      <c r="T172" s="996"/>
    </row>
    <row r="173" spans="1:23" x14ac:dyDescent="0.2">
      <c r="B173" s="1006" t="s">
        <v>311</v>
      </c>
      <c r="C173" s="1007" t="e">
        <f ca="1">2*C171</f>
        <v>#NAME?</v>
      </c>
      <c r="D173" s="996"/>
      <c r="E173" s="2033" t="s">
        <v>312</v>
      </c>
      <c r="F173" s="2025" t="e">
        <f ca="1">SUM(F170:F172)</f>
        <v>#NAME?</v>
      </c>
      <c r="G173" s="996"/>
      <c r="H173" s="2032" t="s">
        <v>128</v>
      </c>
      <c r="I173" s="2031" t="e">
        <f ca="1">SUM(I170:I172)</f>
        <v>#NAME?</v>
      </c>
      <c r="J173" s="996"/>
      <c r="K173" s="999"/>
      <c r="L173" s="1000"/>
      <c r="M173" s="996"/>
      <c r="N173" s="996"/>
      <c r="O173" s="996"/>
      <c r="P173" s="996"/>
      <c r="Q173" s="996"/>
      <c r="R173" s="996"/>
      <c r="S173" s="996"/>
      <c r="T173" s="996"/>
    </row>
    <row r="174" spans="1:23" x14ac:dyDescent="0.2">
      <c r="B174" s="1015" t="s">
        <v>313</v>
      </c>
      <c r="C174" s="1019" t="e">
        <f ca="1">$N$28+'FE Assumptions'!H45+'FE Assumptions'!H48/'BASES MODEL (Base Case)'!G37</f>
        <v>#NAME?</v>
      </c>
      <c r="D174" s="996"/>
      <c r="E174" s="996"/>
      <c r="F174" s="996"/>
      <c r="G174" s="996"/>
      <c r="H174" s="1016"/>
      <c r="I174" s="1016"/>
      <c r="J174" s="996"/>
      <c r="K174" s="996"/>
      <c r="L174" s="996"/>
      <c r="M174" s="996"/>
      <c r="N174" s="996"/>
      <c r="O174" s="996"/>
      <c r="P174" s="996"/>
      <c r="Q174" s="996"/>
      <c r="R174" s="996"/>
      <c r="S174" s="996"/>
      <c r="T174" s="996"/>
    </row>
    <row r="175" spans="1:23" x14ac:dyDescent="0.2">
      <c r="B175" s="1006" t="s">
        <v>314</v>
      </c>
      <c r="C175" s="1007" t="e">
        <f ca="1">ROUNDUP((4*C171+C172+C173)/6,0)</f>
        <v>#NAME?</v>
      </c>
      <c r="D175" s="996"/>
      <c r="E175" s="2874" t="s">
        <v>315</v>
      </c>
      <c r="F175" s="2875"/>
      <c r="G175" s="996"/>
      <c r="H175" s="2874" t="s">
        <v>316</v>
      </c>
      <c r="I175" s="2875"/>
      <c r="J175" s="996"/>
      <c r="K175" s="996"/>
      <c r="L175" s="996"/>
      <c r="M175" s="996"/>
      <c r="N175" s="996"/>
      <c r="O175" s="996"/>
      <c r="P175" s="996"/>
      <c r="Q175" s="996"/>
      <c r="R175" s="996"/>
      <c r="S175" s="996"/>
      <c r="T175" s="996"/>
    </row>
    <row r="176" spans="1:23" x14ac:dyDescent="0.2">
      <c r="B176" s="1006" t="s">
        <v>317</v>
      </c>
      <c r="C176" s="1017" t="e">
        <f ca="1">(C173-C172)/6</f>
        <v>#NAME?</v>
      </c>
      <c r="D176" s="996"/>
      <c r="E176" s="2876"/>
      <c r="F176" s="2877"/>
      <c r="G176" s="996"/>
      <c r="H176" s="2876"/>
      <c r="I176" s="2877"/>
      <c r="J176" s="996"/>
      <c r="K176" s="996"/>
      <c r="L176" s="996"/>
      <c r="M176" s="996"/>
      <c r="N176" s="996"/>
      <c r="O176" s="996"/>
      <c r="P176" s="996"/>
      <c r="Q176" s="996"/>
      <c r="R176" s="996"/>
      <c r="S176" s="996"/>
      <c r="T176" s="996"/>
    </row>
    <row r="177" spans="1:21" x14ac:dyDescent="0.2">
      <c r="B177" s="1018" t="s">
        <v>318</v>
      </c>
      <c r="C177" s="1019">
        <f>'Avg.Weighted Manufacturer Price'!F43</f>
        <v>72.87782346630911</v>
      </c>
      <c r="D177" s="996"/>
      <c r="E177" s="1012" t="s">
        <v>319</v>
      </c>
      <c r="F177" s="1013" t="e">
        <f ca="1">C178*'General Assumptions'!$C$21</f>
        <v>#NAME?</v>
      </c>
      <c r="G177" s="996"/>
      <c r="H177" s="1009" t="s">
        <v>320</v>
      </c>
      <c r="I177" s="1054" t="e">
        <f ca="1">C174*'General Assumptions'!$C$20/6</f>
        <v>#NAME?</v>
      </c>
      <c r="J177" s="996"/>
      <c r="K177" s="996"/>
      <c r="L177" s="996"/>
      <c r="M177" s="996"/>
      <c r="N177" s="996"/>
      <c r="O177" s="996"/>
      <c r="P177" s="996"/>
      <c r="Q177" s="996"/>
      <c r="R177" s="996"/>
      <c r="S177" s="996"/>
      <c r="T177" s="996"/>
    </row>
    <row r="178" spans="1:21" x14ac:dyDescent="0.2">
      <c r="B178" s="1006" t="s">
        <v>321</v>
      </c>
      <c r="C178" s="1007" t="e">
        <f ca="1">ROUNDUP(C175/'General Assumptions'!$C$19,0)</f>
        <v>#NAME?</v>
      </c>
      <c r="D178" s="996"/>
      <c r="E178" s="1016"/>
      <c r="F178" s="1016"/>
      <c r="G178" s="996"/>
      <c r="H178" s="1006" t="s">
        <v>322</v>
      </c>
      <c r="I178" s="1019" t="e">
        <f ca="1">C177-C174</f>
        <v>#NAME?</v>
      </c>
      <c r="J178" s="996"/>
      <c r="K178" s="996"/>
      <c r="L178" s="996"/>
      <c r="M178" s="996"/>
      <c r="N178" s="996"/>
      <c r="O178" s="996"/>
      <c r="P178" s="996"/>
      <c r="Q178" s="996"/>
      <c r="R178" s="996"/>
      <c r="S178" s="996"/>
      <c r="T178" s="996"/>
    </row>
    <row r="179" spans="1:21" x14ac:dyDescent="0.2">
      <c r="B179" s="1012" t="s">
        <v>323</v>
      </c>
      <c r="C179" s="1023" t="e">
        <f ca="1">C176/SQRT('General Assumptions'!$C$19)</f>
        <v>#NAME?</v>
      </c>
      <c r="D179" s="996"/>
      <c r="E179" s="1016"/>
      <c r="F179" s="1016"/>
      <c r="G179" s="996"/>
      <c r="H179" s="1006" t="s">
        <v>316</v>
      </c>
      <c r="I179" s="1056" t="e">
        <f ca="1">I178/(I178+I177)</f>
        <v>#NAME?</v>
      </c>
      <c r="J179" s="996"/>
      <c r="K179" s="996"/>
      <c r="L179" s="996"/>
      <c r="M179" s="996"/>
      <c r="N179" s="996"/>
      <c r="O179" s="996"/>
      <c r="P179" s="996"/>
      <c r="Q179" s="996"/>
      <c r="R179" s="996"/>
      <c r="S179" s="996"/>
      <c r="T179" s="996"/>
    </row>
    <row r="180" spans="1:21" x14ac:dyDescent="0.2">
      <c r="B180" s="996"/>
      <c r="C180" s="996"/>
      <c r="D180" s="996"/>
      <c r="E180" s="996"/>
      <c r="F180" s="996"/>
      <c r="G180" s="996"/>
      <c r="H180" s="1012" t="s">
        <v>324</v>
      </c>
      <c r="I180" s="1023" t="e">
        <f ca="1">NORMSINV(I179)</f>
        <v>#NAME?</v>
      </c>
      <c r="J180" s="996"/>
      <c r="K180" s="996"/>
      <c r="L180" s="996"/>
      <c r="M180" s="996"/>
      <c r="N180" s="996"/>
      <c r="O180" s="996"/>
      <c r="P180" s="996"/>
      <c r="Q180" s="996"/>
      <c r="R180" s="996"/>
      <c r="S180" s="996"/>
      <c r="T180" s="996"/>
    </row>
    <row r="181" spans="1:21" x14ac:dyDescent="0.2">
      <c r="B181" s="996"/>
      <c r="C181" s="996"/>
      <c r="D181" s="996"/>
      <c r="E181" s="996"/>
      <c r="F181" s="996"/>
      <c r="G181" s="996"/>
      <c r="H181" s="996"/>
      <c r="I181" s="996"/>
      <c r="J181" s="996"/>
      <c r="K181" s="996"/>
      <c r="L181" s="996"/>
      <c r="M181" s="996"/>
      <c r="N181" s="996"/>
      <c r="O181" s="996"/>
      <c r="P181" s="996"/>
      <c r="Q181" s="996"/>
      <c r="R181" s="996"/>
      <c r="S181" s="996"/>
      <c r="T181" s="996"/>
    </row>
    <row r="182" spans="1:21" s="791" customFormat="1" x14ac:dyDescent="0.2">
      <c r="A182" s="745"/>
      <c r="B182" s="2038" t="s">
        <v>353</v>
      </c>
      <c r="C182" s="1027"/>
      <c r="D182" s="1027"/>
      <c r="E182" s="1027"/>
      <c r="F182" s="1027"/>
      <c r="G182" s="1027"/>
      <c r="H182" s="1027"/>
      <c r="I182" s="1027"/>
      <c r="J182" s="1027"/>
      <c r="K182" s="1027"/>
      <c r="L182" s="1027"/>
      <c r="M182" s="1027"/>
      <c r="N182" s="1027"/>
      <c r="O182" s="1027"/>
      <c r="P182" s="1027"/>
      <c r="Q182" s="1027"/>
      <c r="R182" s="1027"/>
      <c r="S182" s="1027"/>
      <c r="T182" s="1027"/>
    </row>
    <row r="183" spans="1:21" ht="48" x14ac:dyDescent="0.2">
      <c r="B183" s="1078" t="s">
        <v>325</v>
      </c>
      <c r="C183" s="1077" t="s">
        <v>326</v>
      </c>
      <c r="D183" s="1075" t="s">
        <v>327</v>
      </c>
      <c r="E183" s="1075" t="s">
        <v>328</v>
      </c>
      <c r="F183" s="1075" t="s">
        <v>329</v>
      </c>
      <c r="G183" s="1075" t="s">
        <v>330</v>
      </c>
      <c r="H183" s="1075" t="s">
        <v>331</v>
      </c>
      <c r="I183" s="1075" t="s">
        <v>332</v>
      </c>
      <c r="J183" s="1075" t="s">
        <v>333</v>
      </c>
      <c r="K183" s="1075" t="s">
        <v>334</v>
      </c>
      <c r="L183" s="1075" t="s">
        <v>335</v>
      </c>
      <c r="M183" s="1075" t="s">
        <v>336</v>
      </c>
      <c r="N183" s="1075" t="s">
        <v>337</v>
      </c>
      <c r="O183" s="1075" t="s">
        <v>300</v>
      </c>
      <c r="P183" s="1075" t="s">
        <v>304</v>
      </c>
      <c r="Q183" s="1075" t="s">
        <v>338</v>
      </c>
      <c r="R183" s="1075" t="s">
        <v>339</v>
      </c>
      <c r="S183" s="1075" t="s">
        <v>340</v>
      </c>
      <c r="T183" s="1075" t="s">
        <v>341</v>
      </c>
      <c r="U183" s="1076" t="s">
        <v>342</v>
      </c>
    </row>
    <row r="184" spans="1:21" x14ac:dyDescent="0.2">
      <c r="B184" s="1035" t="s">
        <v>238</v>
      </c>
      <c r="C184" s="1029">
        <f>$H$13</f>
        <v>0.25</v>
      </c>
      <c r="D184" s="1030">
        <f>$L$13</f>
        <v>1</v>
      </c>
      <c r="E184" s="1029" t="e">
        <f ca="1">$M$13</f>
        <v>#NAME?</v>
      </c>
      <c r="F184" s="1031" t="e">
        <f ca="1">ROUNDUP(D184*$C$178,0)</f>
        <v>#NAME?</v>
      </c>
      <c r="G184" s="1027" t="e">
        <f t="shared" ref="G184:G185" ca="1" si="50">D184*$C$179</f>
        <v>#NAME?</v>
      </c>
      <c r="H184" s="1027">
        <f>'General Assumptions'!$C$23/'General Assumptions'!$C$22</f>
        <v>4.2857142857142856</v>
      </c>
      <c r="I184" s="1027">
        <f>0.8*H184</f>
        <v>3.4285714285714288</v>
      </c>
      <c r="J184" s="1027">
        <f>2*H184</f>
        <v>8.5714285714285712</v>
      </c>
      <c r="K184" s="1027">
        <f>(I184+4*H184+J184)/6</f>
        <v>4.8571428571428568</v>
      </c>
      <c r="L184" s="1027">
        <f>(J184-I184)/6</f>
        <v>0.8571428571428571</v>
      </c>
      <c r="M184" s="1027">
        <f>'General Assumptions'!$C$24/'General Assumptions'!$C$22</f>
        <v>0.5714285714285714</v>
      </c>
      <c r="N184" s="1032" t="e">
        <f ca="1">ROUNDUP(SQRT((2*F184*'General Assumptions'!$C$19*'General Assumptions'!$C$25)/(C184*'General Assumptions'!$C$20)),0)</f>
        <v>#NAME?</v>
      </c>
      <c r="O184" s="1033" t="e">
        <f ca="1">ROUNDUP(N184/2,0)</f>
        <v>#NAME?</v>
      </c>
      <c r="P184" s="1033" t="e">
        <f ca="1">ROUNDUP($I$146*SQRT((I184*G184^2)+(F184^2)*(L184^2)),0)</f>
        <v>#NAME?</v>
      </c>
      <c r="Q184" s="1032" t="e">
        <f ca="1">ROUNDUP(F184*M184,0)</f>
        <v>#NAME?</v>
      </c>
      <c r="R184" s="1033" t="e">
        <f t="shared" ref="R184:R185" ca="1" si="51">SUM(O184:Q184)</f>
        <v>#NAME?</v>
      </c>
      <c r="S184" s="1994" t="e">
        <f t="shared" ref="S184:S185" ca="1" si="52">R184*C184</f>
        <v>#NAME?</v>
      </c>
      <c r="T184" s="1995" t="e">
        <f ca="1">ROUNDUP(SQRT((2*('General Assumptions'!$C$19*F184)*'General Assumptions'!$C$25)/$L$171),0)</f>
        <v>#NAME?</v>
      </c>
      <c r="U184" s="1996" t="e">
        <f ca="1">ROUNDUP((F184*'General Assumptions'!$C$19)/T184,0)</f>
        <v>#NAME?</v>
      </c>
    </row>
    <row r="185" spans="1:21" x14ac:dyDescent="0.2">
      <c r="B185" s="1035" t="s">
        <v>243</v>
      </c>
      <c r="C185" s="1029">
        <f>$H$14</f>
        <v>8.0000000000000002E-3</v>
      </c>
      <c r="D185" s="1030">
        <f>$L$14</f>
        <v>1</v>
      </c>
      <c r="E185" s="1029" t="e">
        <f ca="1">$M$14</f>
        <v>#NAME?</v>
      </c>
      <c r="F185" s="1031" t="e">
        <f t="shared" ref="F185:F198" ca="1" si="53">ROUNDUP(D185*$C$178,0)</f>
        <v>#NAME?</v>
      </c>
      <c r="G185" s="1027" t="e">
        <f t="shared" ca="1" si="50"/>
        <v>#NAME?</v>
      </c>
      <c r="H185" s="1027">
        <f>'General Assumptions'!$C$23/'General Assumptions'!$C$22</f>
        <v>4.2857142857142856</v>
      </c>
      <c r="I185" s="1027">
        <f>0.8*H185</f>
        <v>3.4285714285714288</v>
      </c>
      <c r="J185" s="1027">
        <f>2*H185</f>
        <v>8.5714285714285712</v>
      </c>
      <c r="K185" s="1027">
        <f>(I185+4*H185+J185)/6</f>
        <v>4.8571428571428568</v>
      </c>
      <c r="L185" s="1027">
        <f>(J185-I185)/6</f>
        <v>0.8571428571428571</v>
      </c>
      <c r="M185" s="1027">
        <f>'General Assumptions'!$C$24/'General Assumptions'!$C$22</f>
        <v>0.5714285714285714</v>
      </c>
      <c r="N185" s="1032" t="e">
        <f ca="1">ROUNDUP(SQRT((2*F185*'General Assumptions'!$C$19*'General Assumptions'!$C$25)/(C185*'General Assumptions'!$C$20)),0)</f>
        <v>#NAME?</v>
      </c>
      <c r="O185" s="1033" t="e">
        <f t="shared" ref="O185:O198" ca="1" si="54">ROUNDUP(N185/2,0)</f>
        <v>#NAME?</v>
      </c>
      <c r="P185" s="1033" t="e">
        <f t="shared" ref="P185:P198" ca="1" si="55">ROUNDUP($I$146*SQRT((I185*G185^2)+(F185^2)*(L185^2)),0)</f>
        <v>#NAME?</v>
      </c>
      <c r="Q185" s="1032" t="e">
        <f t="shared" ref="Q185:Q198" ca="1" si="56">ROUNDUP(F185*M185,0)</f>
        <v>#NAME?</v>
      </c>
      <c r="R185" s="1033" t="e">
        <f t="shared" ca="1" si="51"/>
        <v>#NAME?</v>
      </c>
      <c r="S185" s="1994" t="e">
        <f t="shared" ca="1" si="52"/>
        <v>#NAME?</v>
      </c>
      <c r="T185" s="1995" t="e">
        <f ca="1">ROUNDUP(SQRT((2*('General Assumptions'!$C$19*F185)*'General Assumptions'!$C$25)/$L$171),0)</f>
        <v>#NAME?</v>
      </c>
      <c r="U185" s="1996" t="e">
        <f ca="1">ROUNDUP((F185*'General Assumptions'!$C$19)/T185,0)</f>
        <v>#NAME?</v>
      </c>
    </row>
    <row r="186" spans="1:21" x14ac:dyDescent="0.2">
      <c r="B186" s="1036" t="s">
        <v>247</v>
      </c>
      <c r="C186" s="1029">
        <f>$H$15</f>
        <v>0.4</v>
      </c>
      <c r="D186" s="1030">
        <f>$L$15</f>
        <v>4</v>
      </c>
      <c r="E186" s="1029" t="e">
        <f ca="1">M$15</f>
        <v>#NAME?</v>
      </c>
      <c r="F186" s="1031" t="e">
        <f t="shared" ca="1" si="53"/>
        <v>#NAME?</v>
      </c>
      <c r="G186" s="1027" t="e">
        <f ca="1">D186*$C$179</f>
        <v>#NAME?</v>
      </c>
      <c r="H186" s="1027">
        <f>'General Assumptions'!$C$23/'General Assumptions'!$C$22</f>
        <v>4.2857142857142856</v>
      </c>
      <c r="I186" s="1027">
        <f>0.8*H186</f>
        <v>3.4285714285714288</v>
      </c>
      <c r="J186" s="1027">
        <f>2*H186</f>
        <v>8.5714285714285712</v>
      </c>
      <c r="K186" s="1027">
        <f>(I186+4*H186+J186)/6</f>
        <v>4.8571428571428568</v>
      </c>
      <c r="L186" s="1027">
        <f>(J186-I186)/6</f>
        <v>0.8571428571428571</v>
      </c>
      <c r="M186" s="1027">
        <f>'General Assumptions'!$C$24/'General Assumptions'!$C$22</f>
        <v>0.5714285714285714</v>
      </c>
      <c r="N186" s="1032" t="e">
        <f ca="1">ROUNDUP(SQRT((2*F186*'General Assumptions'!$C$19*'General Assumptions'!$C$25)/(C186*'General Assumptions'!$C$20)),0)</f>
        <v>#NAME?</v>
      </c>
      <c r="O186" s="1033" t="e">
        <f t="shared" ca="1" si="54"/>
        <v>#NAME?</v>
      </c>
      <c r="P186" s="1033" t="e">
        <f t="shared" ca="1" si="55"/>
        <v>#NAME?</v>
      </c>
      <c r="Q186" s="1032" t="e">
        <f t="shared" ca="1" si="56"/>
        <v>#NAME?</v>
      </c>
      <c r="R186" s="1033" t="e">
        <f ca="1">SUM(O186:Q186)</f>
        <v>#NAME?</v>
      </c>
      <c r="S186" s="1994" t="e">
        <f t="shared" ref="S186:S198" ca="1" si="57">R186*C186</f>
        <v>#NAME?</v>
      </c>
      <c r="T186" s="1995" t="e">
        <f ca="1">ROUNDUP(SQRT((2*('General Assumptions'!$C$19*F186)*'General Assumptions'!$C$25)/$L$171),0)</f>
        <v>#NAME?</v>
      </c>
      <c r="U186" s="1996" t="e">
        <f ca="1">ROUNDUP((F186*'General Assumptions'!$C$19)/T186,0)</f>
        <v>#NAME?</v>
      </c>
    </row>
    <row r="187" spans="1:21" x14ac:dyDescent="0.2">
      <c r="B187" s="1036" t="s">
        <v>343</v>
      </c>
      <c r="C187" s="1029">
        <f>$H$16</f>
        <v>6.75</v>
      </c>
      <c r="D187" s="1030">
        <f>$L$16</f>
        <v>0.57253801085568334</v>
      </c>
      <c r="E187" s="1029" t="e">
        <f ca="1">M$16</f>
        <v>#NAME?</v>
      </c>
      <c r="F187" s="1031" t="e">
        <f t="shared" ca="1" si="53"/>
        <v>#NAME?</v>
      </c>
      <c r="G187" s="1027" t="e">
        <f t="shared" ref="G187:G198" ca="1" si="58">D187*$C$179</f>
        <v>#NAME?</v>
      </c>
      <c r="H187" s="1027">
        <f>'General Assumptions'!$C$24/'General Assumptions'!$C$22</f>
        <v>0.5714285714285714</v>
      </c>
      <c r="I187" s="1027">
        <f t="shared" ref="I187:I198" si="59">0.8*H187</f>
        <v>0.45714285714285713</v>
      </c>
      <c r="J187" s="1027">
        <f t="shared" ref="J187:J198" si="60">2*H187</f>
        <v>1.1428571428571428</v>
      </c>
      <c r="K187" s="1027">
        <f t="shared" ref="K187:K198" si="61">(I187+4*H187+J187)/6</f>
        <v>0.64761904761904765</v>
      </c>
      <c r="L187" s="1027">
        <f t="shared" ref="L187:L198" si="62">(J187-I187)/6</f>
        <v>0.11428571428571428</v>
      </c>
      <c r="M187" s="1027">
        <f>'General Assumptions'!$C$24/'General Assumptions'!$C$22</f>
        <v>0.5714285714285714</v>
      </c>
      <c r="N187" s="1032" t="e">
        <f ca="1">ROUNDUP(SQRT((2*F187*'General Assumptions'!$C$19*'General Assumptions'!$C$25)/(C187*'General Assumptions'!$C$20)),0)</f>
        <v>#NAME?</v>
      </c>
      <c r="O187" s="1033" t="e">
        <f t="shared" ca="1" si="54"/>
        <v>#NAME?</v>
      </c>
      <c r="P187" s="1033" t="e">
        <f t="shared" ca="1" si="55"/>
        <v>#NAME?</v>
      </c>
      <c r="Q187" s="1032" t="e">
        <f t="shared" ca="1" si="56"/>
        <v>#NAME?</v>
      </c>
      <c r="R187" s="1033" t="e">
        <f t="shared" ref="R187:R198" ca="1" si="63">SUM(O187:Q187)</f>
        <v>#NAME?</v>
      </c>
      <c r="S187" s="1994" t="e">
        <f t="shared" ca="1" si="57"/>
        <v>#NAME?</v>
      </c>
      <c r="T187" s="1995" t="e">
        <f ca="1">ROUNDUP(SQRT((2*('General Assumptions'!$C$19*F187)*'General Assumptions'!$C$25)/$L$171),0)</f>
        <v>#NAME?</v>
      </c>
      <c r="U187" s="1996" t="e">
        <f ca="1">ROUNDUP((F187*'General Assumptions'!$C$19)/T187,0)</f>
        <v>#NAME?</v>
      </c>
    </row>
    <row r="188" spans="1:21" x14ac:dyDescent="0.2">
      <c r="B188" s="1038" t="s">
        <v>255</v>
      </c>
      <c r="C188" s="1029">
        <f>$H$17</f>
        <v>4</v>
      </c>
      <c r="D188" s="1030">
        <f>$L$17</f>
        <v>1</v>
      </c>
      <c r="E188" s="1029" t="e">
        <f ca="1">M$17</f>
        <v>#NAME?</v>
      </c>
      <c r="F188" s="1031" t="e">
        <f t="shared" ca="1" si="53"/>
        <v>#NAME?</v>
      </c>
      <c r="G188" s="1027" t="e">
        <f t="shared" ca="1" si="58"/>
        <v>#NAME?</v>
      </c>
      <c r="H188" s="1027">
        <f>'General Assumptions'!$C$23/'General Assumptions'!$C$22</f>
        <v>4.2857142857142856</v>
      </c>
      <c r="I188" s="1027">
        <f t="shared" si="59"/>
        <v>3.4285714285714288</v>
      </c>
      <c r="J188" s="1027">
        <f t="shared" si="60"/>
        <v>8.5714285714285712</v>
      </c>
      <c r="K188" s="1027">
        <f t="shared" si="61"/>
        <v>4.8571428571428568</v>
      </c>
      <c r="L188" s="1027">
        <f t="shared" si="62"/>
        <v>0.8571428571428571</v>
      </c>
      <c r="M188" s="1027">
        <f>'General Assumptions'!$C$24/'General Assumptions'!$C$22</f>
        <v>0.5714285714285714</v>
      </c>
      <c r="N188" s="1032" t="e">
        <f ca="1">ROUNDUP(SQRT((2*F188*'General Assumptions'!$C$19*'General Assumptions'!$C$25)/(C188*'General Assumptions'!$C$20)),0)</f>
        <v>#NAME?</v>
      </c>
      <c r="O188" s="1033" t="e">
        <f t="shared" ca="1" si="54"/>
        <v>#NAME?</v>
      </c>
      <c r="P188" s="1033" t="e">
        <f t="shared" ca="1" si="55"/>
        <v>#NAME?</v>
      </c>
      <c r="Q188" s="1032" t="e">
        <f t="shared" ca="1" si="56"/>
        <v>#NAME?</v>
      </c>
      <c r="R188" s="1033" t="e">
        <f t="shared" ca="1" si="63"/>
        <v>#NAME?</v>
      </c>
      <c r="S188" s="1994" t="e">
        <f t="shared" ca="1" si="57"/>
        <v>#NAME?</v>
      </c>
      <c r="T188" s="1995" t="e">
        <f ca="1">ROUNDUP(SQRT((2*('General Assumptions'!$C$19*F188)*'General Assumptions'!$C$25)/$L$171),0)</f>
        <v>#NAME?</v>
      </c>
      <c r="U188" s="1996" t="e">
        <f ca="1">ROUNDUP((F188*'General Assumptions'!$C$19)/T188,0)</f>
        <v>#NAME?</v>
      </c>
    </row>
    <row r="189" spans="1:21" x14ac:dyDescent="0.2">
      <c r="B189" s="1036" t="s">
        <v>258</v>
      </c>
      <c r="C189" s="1029">
        <f>$H$18</f>
        <v>4.5</v>
      </c>
      <c r="D189" s="1030">
        <f>$L$18</f>
        <v>1</v>
      </c>
      <c r="E189" s="1029" t="e">
        <f ca="1">M$18</f>
        <v>#NAME?</v>
      </c>
      <c r="F189" s="1031" t="e">
        <f t="shared" ca="1" si="53"/>
        <v>#NAME?</v>
      </c>
      <c r="G189" s="1027" t="e">
        <f t="shared" ca="1" si="58"/>
        <v>#NAME?</v>
      </c>
      <c r="H189" s="1027">
        <f>'General Assumptions'!$C$23/'General Assumptions'!$C$22</f>
        <v>4.2857142857142856</v>
      </c>
      <c r="I189" s="1027">
        <f t="shared" si="59"/>
        <v>3.4285714285714288</v>
      </c>
      <c r="J189" s="1027">
        <f t="shared" si="60"/>
        <v>8.5714285714285712</v>
      </c>
      <c r="K189" s="1027">
        <f t="shared" si="61"/>
        <v>4.8571428571428568</v>
      </c>
      <c r="L189" s="1027">
        <f t="shared" si="62"/>
        <v>0.8571428571428571</v>
      </c>
      <c r="M189" s="1027">
        <f>'General Assumptions'!$C$24/'General Assumptions'!$C$22</f>
        <v>0.5714285714285714</v>
      </c>
      <c r="N189" s="1032" t="e">
        <f ca="1">ROUNDUP(SQRT((2*F189*'General Assumptions'!$C$19*'General Assumptions'!$C$25)/(C189*'General Assumptions'!$C$20)),0)</f>
        <v>#NAME?</v>
      </c>
      <c r="O189" s="1033" t="e">
        <f t="shared" ca="1" si="54"/>
        <v>#NAME?</v>
      </c>
      <c r="P189" s="1033" t="e">
        <f t="shared" ca="1" si="55"/>
        <v>#NAME?</v>
      </c>
      <c r="Q189" s="1032" t="e">
        <f t="shared" ca="1" si="56"/>
        <v>#NAME?</v>
      </c>
      <c r="R189" s="1033" t="e">
        <f t="shared" ca="1" si="63"/>
        <v>#NAME?</v>
      </c>
      <c r="S189" s="1994" t="e">
        <f t="shared" ca="1" si="57"/>
        <v>#NAME?</v>
      </c>
      <c r="T189" s="1995" t="e">
        <f ca="1">ROUNDUP(SQRT((2*('General Assumptions'!$C$19*F189)*'General Assumptions'!$C$25)/$L$171),0)</f>
        <v>#NAME?</v>
      </c>
      <c r="U189" s="1996" t="e">
        <f ca="1">ROUNDUP((F189*'General Assumptions'!$C$19)/T189,0)</f>
        <v>#NAME?</v>
      </c>
    </row>
    <row r="190" spans="1:21" x14ac:dyDescent="0.2">
      <c r="B190" s="1038" t="s">
        <v>262</v>
      </c>
      <c r="C190" s="1029">
        <f>$H$19</f>
        <v>5.8</v>
      </c>
      <c r="D190" s="1030">
        <f>$L$19</f>
        <v>2.5252525252525255E-3</v>
      </c>
      <c r="E190" s="1029" t="e">
        <f ca="1">M$19</f>
        <v>#NAME?</v>
      </c>
      <c r="F190" s="1031" t="e">
        <f t="shared" ca="1" si="53"/>
        <v>#NAME?</v>
      </c>
      <c r="G190" s="1027" t="e">
        <f t="shared" ca="1" si="58"/>
        <v>#NAME?</v>
      </c>
      <c r="H190" s="1027">
        <f>'General Assumptions'!$C$23/'General Assumptions'!$C$22</f>
        <v>4.2857142857142856</v>
      </c>
      <c r="I190" s="1027">
        <f t="shared" si="59"/>
        <v>3.4285714285714288</v>
      </c>
      <c r="J190" s="1027">
        <f t="shared" si="60"/>
        <v>8.5714285714285712</v>
      </c>
      <c r="K190" s="1027">
        <f t="shared" si="61"/>
        <v>4.8571428571428568</v>
      </c>
      <c r="L190" s="1027">
        <f t="shared" si="62"/>
        <v>0.8571428571428571</v>
      </c>
      <c r="M190" s="1027">
        <f>'General Assumptions'!$C$24/'General Assumptions'!$C$22</f>
        <v>0.5714285714285714</v>
      </c>
      <c r="N190" s="1032" t="e">
        <f ca="1">ROUNDUP(SQRT((2*F190*'General Assumptions'!$C$19*'General Assumptions'!$C$25)/(C190*'General Assumptions'!$C$20)),0)</f>
        <v>#NAME?</v>
      </c>
      <c r="O190" s="1033" t="e">
        <f t="shared" ca="1" si="54"/>
        <v>#NAME?</v>
      </c>
      <c r="P190" s="1033" t="e">
        <f t="shared" ca="1" si="55"/>
        <v>#NAME?</v>
      </c>
      <c r="Q190" s="1032" t="e">
        <f t="shared" ca="1" si="56"/>
        <v>#NAME?</v>
      </c>
      <c r="R190" s="1033" t="e">
        <f t="shared" ca="1" si="63"/>
        <v>#NAME?</v>
      </c>
      <c r="S190" s="1994" t="e">
        <f t="shared" ca="1" si="57"/>
        <v>#NAME?</v>
      </c>
      <c r="T190" s="1995" t="e">
        <f ca="1">ROUNDUP(SQRT((2*('General Assumptions'!$C$19*F190)*'General Assumptions'!$C$25)/$L$171),0)</f>
        <v>#NAME?</v>
      </c>
      <c r="U190" s="1996" t="e">
        <f ca="1">ROUNDUP((F190*'General Assumptions'!$C$19)/T190,0)</f>
        <v>#NAME?</v>
      </c>
    </row>
    <row r="191" spans="1:21" x14ac:dyDescent="0.2">
      <c r="B191" s="1036" t="s">
        <v>344</v>
      </c>
      <c r="C191" s="1029">
        <f>$H$20</f>
        <v>2.8</v>
      </c>
      <c r="D191" s="1030">
        <f>$L$20</f>
        <v>0.34017112903225799</v>
      </c>
      <c r="E191" s="1029" t="e">
        <f ca="1">M$20</f>
        <v>#NAME?</v>
      </c>
      <c r="F191" s="1031" t="e">
        <f t="shared" ca="1" si="53"/>
        <v>#NAME?</v>
      </c>
      <c r="G191" s="1027" t="e">
        <f t="shared" ca="1" si="58"/>
        <v>#NAME?</v>
      </c>
      <c r="H191" s="1027">
        <f>'General Assumptions'!$C$23/'General Assumptions'!$C$22</f>
        <v>4.2857142857142856</v>
      </c>
      <c r="I191" s="1027">
        <f t="shared" si="59"/>
        <v>3.4285714285714288</v>
      </c>
      <c r="J191" s="1027">
        <f t="shared" si="60"/>
        <v>8.5714285714285712</v>
      </c>
      <c r="K191" s="1027">
        <f t="shared" si="61"/>
        <v>4.8571428571428568</v>
      </c>
      <c r="L191" s="1027">
        <f t="shared" si="62"/>
        <v>0.8571428571428571</v>
      </c>
      <c r="M191" s="1027">
        <f>'General Assumptions'!$C$24/'General Assumptions'!$C$22</f>
        <v>0.5714285714285714</v>
      </c>
      <c r="N191" s="1032" t="e">
        <f ca="1">ROUNDUP(SQRT((2*F191*'General Assumptions'!$C$19*'General Assumptions'!$C$25)/(C191*'General Assumptions'!$C$20)),0)</f>
        <v>#NAME?</v>
      </c>
      <c r="O191" s="1033" t="e">
        <f t="shared" ca="1" si="54"/>
        <v>#NAME?</v>
      </c>
      <c r="P191" s="1033" t="e">
        <f t="shared" ca="1" si="55"/>
        <v>#NAME?</v>
      </c>
      <c r="Q191" s="1032" t="e">
        <f t="shared" ca="1" si="56"/>
        <v>#NAME?</v>
      </c>
      <c r="R191" s="1033" t="e">
        <f t="shared" ca="1" si="63"/>
        <v>#NAME?</v>
      </c>
      <c r="S191" s="1994" t="e">
        <f t="shared" ca="1" si="57"/>
        <v>#NAME?</v>
      </c>
      <c r="T191" s="1995" t="e">
        <f ca="1">ROUNDUP(SQRT((2*('General Assumptions'!$C$19*F191)*'General Assumptions'!$C$25)/$L$171),0)</f>
        <v>#NAME?</v>
      </c>
      <c r="U191" s="1996" t="e">
        <f ca="1">ROUNDUP((F191*'General Assumptions'!$C$19)/T191,0)</f>
        <v>#NAME?</v>
      </c>
    </row>
    <row r="192" spans="1:21" x14ac:dyDescent="0.2">
      <c r="B192" s="1036" t="s">
        <v>268</v>
      </c>
      <c r="C192" s="1029">
        <f>$H$21</f>
        <v>5</v>
      </c>
      <c r="D192" s="1030">
        <f>$L$21</f>
        <v>1.4693010726845441</v>
      </c>
      <c r="E192" s="1029" t="e">
        <f ca="1">M$21</f>
        <v>#NAME?</v>
      </c>
      <c r="F192" s="1031" t="e">
        <f t="shared" ca="1" si="53"/>
        <v>#NAME?</v>
      </c>
      <c r="G192" s="1027" t="e">
        <f t="shared" ca="1" si="58"/>
        <v>#NAME?</v>
      </c>
      <c r="H192" s="1027">
        <f>'General Assumptions'!$C$23/'General Assumptions'!$C$22</f>
        <v>4.2857142857142856</v>
      </c>
      <c r="I192" s="1027">
        <f t="shared" si="59"/>
        <v>3.4285714285714288</v>
      </c>
      <c r="J192" s="1027">
        <f t="shared" si="60"/>
        <v>8.5714285714285712</v>
      </c>
      <c r="K192" s="1027">
        <f t="shared" si="61"/>
        <v>4.8571428571428568</v>
      </c>
      <c r="L192" s="1027">
        <f t="shared" si="62"/>
        <v>0.8571428571428571</v>
      </c>
      <c r="M192" s="1027">
        <f>'General Assumptions'!$C$24/'General Assumptions'!$C$22</f>
        <v>0.5714285714285714</v>
      </c>
      <c r="N192" s="1032" t="e">
        <f ca="1">ROUNDUP(SQRT((2*F192*'General Assumptions'!$C$19*'General Assumptions'!$C$25)/(C192*'General Assumptions'!$C$20)),0)</f>
        <v>#NAME?</v>
      </c>
      <c r="O192" s="1033" t="e">
        <f t="shared" ca="1" si="54"/>
        <v>#NAME?</v>
      </c>
      <c r="P192" s="1033" t="e">
        <f t="shared" ca="1" si="55"/>
        <v>#NAME?</v>
      </c>
      <c r="Q192" s="1032" t="e">
        <f t="shared" ca="1" si="56"/>
        <v>#NAME?</v>
      </c>
      <c r="R192" s="1033" t="e">
        <f t="shared" ca="1" si="63"/>
        <v>#NAME?</v>
      </c>
      <c r="S192" s="1994" t="e">
        <f t="shared" ca="1" si="57"/>
        <v>#NAME?</v>
      </c>
      <c r="T192" s="1995" t="e">
        <f ca="1">ROUNDUP(SQRT((2*('General Assumptions'!$C$19*F192)*'General Assumptions'!$C$25)/$L$171),0)</f>
        <v>#NAME?</v>
      </c>
      <c r="U192" s="1996" t="e">
        <f ca="1">ROUNDUP((F192*'General Assumptions'!$C$19)/T192,0)</f>
        <v>#NAME?</v>
      </c>
    </row>
    <row r="193" spans="2:21" x14ac:dyDescent="0.2">
      <c r="B193" s="1036" t="s">
        <v>272</v>
      </c>
      <c r="C193" s="1029">
        <f>$H$22</f>
        <v>0.25</v>
      </c>
      <c r="D193" s="1030">
        <f>$L$22</f>
        <v>2</v>
      </c>
      <c r="E193" s="1029" t="e">
        <f ca="1">M$22</f>
        <v>#NAME?</v>
      </c>
      <c r="F193" s="1031" t="e">
        <f t="shared" ca="1" si="53"/>
        <v>#NAME?</v>
      </c>
      <c r="G193" s="1027" t="e">
        <f t="shared" ca="1" si="58"/>
        <v>#NAME?</v>
      </c>
      <c r="H193" s="1027">
        <f>'General Assumptions'!$C$23/'General Assumptions'!$C$22</f>
        <v>4.2857142857142856</v>
      </c>
      <c r="I193" s="1027">
        <f t="shared" si="59"/>
        <v>3.4285714285714288</v>
      </c>
      <c r="J193" s="1027">
        <f t="shared" si="60"/>
        <v>8.5714285714285712</v>
      </c>
      <c r="K193" s="1027">
        <f t="shared" si="61"/>
        <v>4.8571428571428568</v>
      </c>
      <c r="L193" s="1027">
        <f t="shared" si="62"/>
        <v>0.8571428571428571</v>
      </c>
      <c r="M193" s="1027">
        <f>'General Assumptions'!$C$24/'General Assumptions'!$C$22</f>
        <v>0.5714285714285714</v>
      </c>
      <c r="N193" s="1032" t="e">
        <f ca="1">ROUNDUP(SQRT((2*F193*'General Assumptions'!$C$19*'General Assumptions'!$C$25)/(C193*'General Assumptions'!$C$20)),0)</f>
        <v>#NAME?</v>
      </c>
      <c r="O193" s="1033" t="e">
        <f t="shared" ca="1" si="54"/>
        <v>#NAME?</v>
      </c>
      <c r="P193" s="1033" t="e">
        <f t="shared" ca="1" si="55"/>
        <v>#NAME?</v>
      </c>
      <c r="Q193" s="1032" t="e">
        <f t="shared" ca="1" si="56"/>
        <v>#NAME?</v>
      </c>
      <c r="R193" s="1033" t="e">
        <f t="shared" ca="1" si="63"/>
        <v>#NAME?</v>
      </c>
      <c r="S193" s="1994" t="e">
        <f t="shared" ca="1" si="57"/>
        <v>#NAME?</v>
      </c>
      <c r="T193" s="1995" t="e">
        <f ca="1">ROUNDUP(SQRT((2*('General Assumptions'!$C$19*F193)*'General Assumptions'!$C$25)/$L$171),0)</f>
        <v>#NAME?</v>
      </c>
      <c r="U193" s="1996" t="e">
        <f ca="1">ROUNDUP((F193*'General Assumptions'!$C$19)/T193,0)</f>
        <v>#NAME?</v>
      </c>
    </row>
    <row r="194" spans="2:21" x14ac:dyDescent="0.2">
      <c r="B194" s="1036" t="s">
        <v>276</v>
      </c>
      <c r="C194" s="1029">
        <f>$H$23</f>
        <v>0.05</v>
      </c>
      <c r="D194" s="1030">
        <f>$L$23</f>
        <v>0.91439950622426658</v>
      </c>
      <c r="E194" s="1029" t="e">
        <f ca="1">M$23</f>
        <v>#NAME?</v>
      </c>
      <c r="F194" s="1031" t="e">
        <f t="shared" ca="1" si="53"/>
        <v>#NAME?</v>
      </c>
      <c r="G194" s="1027" t="e">
        <f t="shared" ca="1" si="58"/>
        <v>#NAME?</v>
      </c>
      <c r="H194" s="1027">
        <f>'General Assumptions'!$C$23/'General Assumptions'!$C$22</f>
        <v>4.2857142857142856</v>
      </c>
      <c r="I194" s="1027">
        <f t="shared" si="59"/>
        <v>3.4285714285714288</v>
      </c>
      <c r="J194" s="1027">
        <f t="shared" si="60"/>
        <v>8.5714285714285712</v>
      </c>
      <c r="K194" s="1027">
        <f t="shared" si="61"/>
        <v>4.8571428571428568</v>
      </c>
      <c r="L194" s="1027">
        <f t="shared" si="62"/>
        <v>0.8571428571428571</v>
      </c>
      <c r="M194" s="1027">
        <f>'General Assumptions'!$C$24/'General Assumptions'!$C$22</f>
        <v>0.5714285714285714</v>
      </c>
      <c r="N194" s="1032" t="e">
        <f ca="1">ROUNDUP(SQRT((2*F194*'General Assumptions'!$C$19*'General Assumptions'!$C$25)/(C194*'General Assumptions'!$C$20)),0)</f>
        <v>#NAME?</v>
      </c>
      <c r="O194" s="1033" t="e">
        <f t="shared" ca="1" si="54"/>
        <v>#NAME?</v>
      </c>
      <c r="P194" s="1033" t="e">
        <f t="shared" ca="1" si="55"/>
        <v>#NAME?</v>
      </c>
      <c r="Q194" s="1032" t="e">
        <f t="shared" ca="1" si="56"/>
        <v>#NAME?</v>
      </c>
      <c r="R194" s="1033" t="e">
        <f t="shared" ca="1" si="63"/>
        <v>#NAME?</v>
      </c>
      <c r="S194" s="1994" t="e">
        <f t="shared" ca="1" si="57"/>
        <v>#NAME?</v>
      </c>
      <c r="T194" s="1995" t="e">
        <f ca="1">ROUNDUP(SQRT((2*('General Assumptions'!$C$19*F194)*'General Assumptions'!$C$25)/$L$171),0)</f>
        <v>#NAME?</v>
      </c>
      <c r="U194" s="1996" t="e">
        <f ca="1">ROUNDUP((F194*'General Assumptions'!$C$19)/T194,0)</f>
        <v>#NAME?</v>
      </c>
    </row>
    <row r="195" spans="2:21" x14ac:dyDescent="0.2">
      <c r="B195" s="1036" t="s">
        <v>279</v>
      </c>
      <c r="C195" s="1029">
        <f>$H$24</f>
        <v>1.8</v>
      </c>
      <c r="D195" s="1030">
        <f>$L$24</f>
        <v>0.69975730167128702</v>
      </c>
      <c r="E195" s="1029" t="e">
        <f ca="1">M$24</f>
        <v>#NAME?</v>
      </c>
      <c r="F195" s="1031" t="e">
        <f t="shared" ca="1" si="53"/>
        <v>#NAME?</v>
      </c>
      <c r="G195" s="1027" t="e">
        <f t="shared" ca="1" si="58"/>
        <v>#NAME?</v>
      </c>
      <c r="H195" s="1027">
        <f>'General Assumptions'!$C$23/'General Assumptions'!$C$22</f>
        <v>4.2857142857142856</v>
      </c>
      <c r="I195" s="1027">
        <f t="shared" si="59"/>
        <v>3.4285714285714288</v>
      </c>
      <c r="J195" s="1027">
        <f t="shared" si="60"/>
        <v>8.5714285714285712</v>
      </c>
      <c r="K195" s="1027">
        <f t="shared" si="61"/>
        <v>4.8571428571428568</v>
      </c>
      <c r="L195" s="1027">
        <f t="shared" si="62"/>
        <v>0.8571428571428571</v>
      </c>
      <c r="M195" s="1027">
        <f>'General Assumptions'!$C$24/'General Assumptions'!$C$22</f>
        <v>0.5714285714285714</v>
      </c>
      <c r="N195" s="1032" t="e">
        <f ca="1">ROUNDUP(SQRT((2*F195*'General Assumptions'!$C$19*'General Assumptions'!$C$25)/(C195*'General Assumptions'!$C$20)),0)</f>
        <v>#NAME?</v>
      </c>
      <c r="O195" s="1033" t="e">
        <f t="shared" ca="1" si="54"/>
        <v>#NAME?</v>
      </c>
      <c r="P195" s="1033" t="e">
        <f t="shared" ca="1" si="55"/>
        <v>#NAME?</v>
      </c>
      <c r="Q195" s="1032" t="e">
        <f t="shared" ca="1" si="56"/>
        <v>#NAME?</v>
      </c>
      <c r="R195" s="1033" t="e">
        <f t="shared" ca="1" si="63"/>
        <v>#NAME?</v>
      </c>
      <c r="S195" s="1994" t="e">
        <f t="shared" ca="1" si="57"/>
        <v>#NAME?</v>
      </c>
      <c r="T195" s="1995" t="e">
        <f ca="1">ROUNDUP(SQRT((2*('General Assumptions'!$C$19*F195)*'General Assumptions'!$C$25)/$L$171),0)</f>
        <v>#NAME?</v>
      </c>
      <c r="U195" s="1996" t="e">
        <f ca="1">ROUNDUP((F195*'General Assumptions'!$C$19)/T195,0)</f>
        <v>#NAME?</v>
      </c>
    </row>
    <row r="196" spans="2:21" x14ac:dyDescent="0.2">
      <c r="B196" s="1036" t="s">
        <v>282</v>
      </c>
      <c r="C196" s="1029">
        <f>$H$25</f>
        <v>3</v>
      </c>
      <c r="D196" s="1030">
        <f>$L$25</f>
        <v>9.8254910065803294E-2</v>
      </c>
      <c r="E196" s="1029" t="e">
        <f ca="1">M$25</f>
        <v>#NAME?</v>
      </c>
      <c r="F196" s="1031" t="e">
        <f t="shared" ca="1" si="53"/>
        <v>#NAME?</v>
      </c>
      <c r="G196" s="1027" t="e">
        <f t="shared" ca="1" si="58"/>
        <v>#NAME?</v>
      </c>
      <c r="H196" s="1027">
        <f>'General Assumptions'!$C$23/'General Assumptions'!$C$22</f>
        <v>4.2857142857142856</v>
      </c>
      <c r="I196" s="1027">
        <f t="shared" si="59"/>
        <v>3.4285714285714288</v>
      </c>
      <c r="J196" s="1027">
        <f t="shared" si="60"/>
        <v>8.5714285714285712</v>
      </c>
      <c r="K196" s="1027">
        <f t="shared" si="61"/>
        <v>4.8571428571428568</v>
      </c>
      <c r="L196" s="1027">
        <f t="shared" si="62"/>
        <v>0.8571428571428571</v>
      </c>
      <c r="M196" s="1027">
        <f>'General Assumptions'!$C$24/'General Assumptions'!$C$22</f>
        <v>0.5714285714285714</v>
      </c>
      <c r="N196" s="1032" t="e">
        <f ca="1">ROUNDUP(SQRT((2*F196*'General Assumptions'!$C$19*'General Assumptions'!$C$25)/(C196*'General Assumptions'!$C$20)),0)</f>
        <v>#NAME?</v>
      </c>
      <c r="O196" s="1033" t="e">
        <f t="shared" ca="1" si="54"/>
        <v>#NAME?</v>
      </c>
      <c r="P196" s="1033" t="e">
        <f t="shared" ca="1" si="55"/>
        <v>#NAME?</v>
      </c>
      <c r="Q196" s="1032" t="e">
        <f t="shared" ca="1" si="56"/>
        <v>#NAME?</v>
      </c>
      <c r="R196" s="1033" t="e">
        <f t="shared" ca="1" si="63"/>
        <v>#NAME?</v>
      </c>
      <c r="S196" s="1994" t="e">
        <f t="shared" ca="1" si="57"/>
        <v>#NAME?</v>
      </c>
      <c r="T196" s="1995" t="e">
        <f ca="1">ROUNDUP(SQRT((2*('General Assumptions'!$C$19*F196)*'General Assumptions'!$C$25)/$L$171),0)</f>
        <v>#NAME?</v>
      </c>
      <c r="U196" s="1996" t="e">
        <f ca="1">ROUNDUP((F196*'General Assumptions'!$C$19)/T196,0)</f>
        <v>#NAME?</v>
      </c>
    </row>
    <row r="197" spans="2:21" x14ac:dyDescent="0.2">
      <c r="B197" s="1036" t="s">
        <v>286</v>
      </c>
      <c r="C197" s="1029">
        <f>$H$26</f>
        <v>0.1</v>
      </c>
      <c r="D197" s="1030">
        <f>$L$26</f>
        <v>4.6651138808385042</v>
      </c>
      <c r="E197" s="1029" t="e">
        <f ca="1">M$26</f>
        <v>#NAME?</v>
      </c>
      <c r="F197" s="1031" t="e">
        <f t="shared" ca="1" si="53"/>
        <v>#NAME?</v>
      </c>
      <c r="G197" s="1027" t="e">
        <f t="shared" ca="1" si="58"/>
        <v>#NAME?</v>
      </c>
      <c r="H197" s="1027">
        <f>'General Assumptions'!$C$23/'General Assumptions'!$C$22</f>
        <v>4.2857142857142856</v>
      </c>
      <c r="I197" s="1027">
        <f t="shared" si="59"/>
        <v>3.4285714285714288</v>
      </c>
      <c r="J197" s="1027">
        <f t="shared" si="60"/>
        <v>8.5714285714285712</v>
      </c>
      <c r="K197" s="1027">
        <f t="shared" si="61"/>
        <v>4.8571428571428568</v>
      </c>
      <c r="L197" s="1027">
        <f t="shared" si="62"/>
        <v>0.8571428571428571</v>
      </c>
      <c r="M197" s="1027">
        <f>'General Assumptions'!$C$24/'General Assumptions'!$C$22</f>
        <v>0.5714285714285714</v>
      </c>
      <c r="N197" s="1032" t="e">
        <f ca="1">ROUNDUP(SQRT((2*F197*'General Assumptions'!$C$19*'General Assumptions'!$C$25)/(C197*'General Assumptions'!$C$20)),0)</f>
        <v>#NAME?</v>
      </c>
      <c r="O197" s="1033" t="e">
        <f t="shared" ca="1" si="54"/>
        <v>#NAME?</v>
      </c>
      <c r="P197" s="1033" t="e">
        <f t="shared" ca="1" si="55"/>
        <v>#NAME?</v>
      </c>
      <c r="Q197" s="1032" t="e">
        <f t="shared" ca="1" si="56"/>
        <v>#NAME?</v>
      </c>
      <c r="R197" s="1033" t="e">
        <f t="shared" ca="1" si="63"/>
        <v>#NAME?</v>
      </c>
      <c r="S197" s="1994" t="e">
        <f t="shared" ca="1" si="57"/>
        <v>#NAME?</v>
      </c>
      <c r="T197" s="1995" t="e">
        <f ca="1">ROUNDUP(SQRT((2*('General Assumptions'!$C$19*F197)*'General Assumptions'!$C$25)/$L$171),0)</f>
        <v>#NAME?</v>
      </c>
      <c r="U197" s="1996" t="e">
        <f ca="1">ROUNDUP((F197*'General Assumptions'!$C$19)/T197,0)</f>
        <v>#NAME?</v>
      </c>
    </row>
    <row r="198" spans="2:21" x14ac:dyDescent="0.2">
      <c r="B198" s="1039" t="s">
        <v>290</v>
      </c>
      <c r="C198" s="1040">
        <f>$H$27</f>
        <v>0.12</v>
      </c>
      <c r="D198" s="1041">
        <f>$L$27</f>
        <v>0.33337481997759721</v>
      </c>
      <c r="E198" s="1040" t="e">
        <f ca="1">M$27</f>
        <v>#NAME?</v>
      </c>
      <c r="F198" s="1042" t="e">
        <f t="shared" ca="1" si="53"/>
        <v>#NAME?</v>
      </c>
      <c r="G198" s="1043" t="e">
        <f t="shared" ca="1" si="58"/>
        <v>#NAME?</v>
      </c>
      <c r="H198" s="1043">
        <f>'General Assumptions'!$C$23/'General Assumptions'!$C$22</f>
        <v>4.2857142857142856</v>
      </c>
      <c r="I198" s="1043">
        <f t="shared" si="59"/>
        <v>3.4285714285714288</v>
      </c>
      <c r="J198" s="1043">
        <f t="shared" si="60"/>
        <v>8.5714285714285712</v>
      </c>
      <c r="K198" s="1043">
        <f t="shared" si="61"/>
        <v>4.8571428571428568</v>
      </c>
      <c r="L198" s="1043">
        <f t="shared" si="62"/>
        <v>0.8571428571428571</v>
      </c>
      <c r="M198" s="1043">
        <f>'General Assumptions'!$C$24/'General Assumptions'!$C$22</f>
        <v>0.5714285714285714</v>
      </c>
      <c r="N198" s="1044" t="e">
        <f ca="1">ROUNDUP(SQRT((2*F198*'General Assumptions'!$C$19*'General Assumptions'!$C$25)/(C198*'General Assumptions'!$C$20)),0)</f>
        <v>#NAME?</v>
      </c>
      <c r="O198" s="1045" t="e">
        <f t="shared" ca="1" si="54"/>
        <v>#NAME?</v>
      </c>
      <c r="P198" s="1045" t="e">
        <f t="shared" ca="1" si="55"/>
        <v>#NAME?</v>
      </c>
      <c r="Q198" s="1044" t="e">
        <f t="shared" ca="1" si="56"/>
        <v>#NAME?</v>
      </c>
      <c r="R198" s="1045" t="e">
        <f t="shared" ca="1" si="63"/>
        <v>#NAME?</v>
      </c>
      <c r="S198" s="1997" t="e">
        <f t="shared" ca="1" si="57"/>
        <v>#NAME?</v>
      </c>
      <c r="T198" s="1998" t="e">
        <f ca="1">ROUNDUP(SQRT((2*('General Assumptions'!$C$19*F198)*'General Assumptions'!$C$25)/$L$171),0)</f>
        <v>#NAME?</v>
      </c>
      <c r="U198" s="1999" t="e">
        <f ca="1">ROUNDUP((F198*'General Assumptions'!$C$19)/T198,0)</f>
        <v>#NAME?</v>
      </c>
    </row>
    <row r="199" spans="2:21" x14ac:dyDescent="0.2">
      <c r="B199" s="1016"/>
      <c r="C199" s="1016"/>
      <c r="D199" s="1016"/>
      <c r="E199" s="1016"/>
      <c r="F199" s="1016"/>
      <c r="G199" s="1016"/>
      <c r="H199" s="1016"/>
      <c r="I199" s="1016"/>
      <c r="J199" s="996"/>
      <c r="K199" s="996"/>
      <c r="L199" s="996"/>
      <c r="M199" s="1027"/>
      <c r="N199" s="996"/>
      <c r="O199" s="996"/>
      <c r="P199" s="996"/>
      <c r="Q199" s="996"/>
      <c r="R199" s="996"/>
      <c r="S199" s="996"/>
      <c r="T199" s="996"/>
    </row>
    <row r="200" spans="2:21" x14ac:dyDescent="0.2">
      <c r="B200" s="1016"/>
      <c r="C200" s="1016"/>
      <c r="D200" s="1016"/>
      <c r="E200" s="1016"/>
      <c r="F200" s="1016"/>
      <c r="G200" s="1016"/>
      <c r="H200" s="1016"/>
      <c r="I200" s="1016"/>
      <c r="J200" s="996"/>
      <c r="K200" s="996"/>
      <c r="L200" s="996"/>
      <c r="M200" s="996"/>
      <c r="N200" s="996"/>
      <c r="O200" s="996"/>
      <c r="P200" s="996"/>
      <c r="Q200" s="996"/>
      <c r="R200" s="996"/>
      <c r="S200" s="996"/>
      <c r="T200" s="996"/>
    </row>
  </sheetData>
  <mergeCells count="31">
    <mergeCell ref="H107:I108"/>
    <mergeCell ref="H141:I142"/>
    <mergeCell ref="H168:I169"/>
    <mergeCell ref="K32:L33"/>
    <mergeCell ref="H32:I33"/>
    <mergeCell ref="K66:L67"/>
    <mergeCell ref="K100:L101"/>
    <mergeCell ref="H39:I40"/>
    <mergeCell ref="H73:I74"/>
    <mergeCell ref="E175:F176"/>
    <mergeCell ref="B168:C169"/>
    <mergeCell ref="E168:F169"/>
    <mergeCell ref="H175:I176"/>
    <mergeCell ref="K134:L135"/>
    <mergeCell ref="K168:L169"/>
    <mergeCell ref="K28:L28"/>
    <mergeCell ref="B134:C135"/>
    <mergeCell ref="E134:F135"/>
    <mergeCell ref="E141:F142"/>
    <mergeCell ref="H134:I135"/>
    <mergeCell ref="E73:F74"/>
    <mergeCell ref="H66:I67"/>
    <mergeCell ref="B100:C101"/>
    <mergeCell ref="E100:F101"/>
    <mergeCell ref="E107:F108"/>
    <mergeCell ref="H100:I101"/>
    <mergeCell ref="B32:C33"/>
    <mergeCell ref="E32:F33"/>
    <mergeCell ref="E39:F40"/>
    <mergeCell ref="B66:C67"/>
    <mergeCell ref="E66:F67"/>
  </mergeCells>
  <phoneticPr fontId="59" type="noConversion"/>
  <hyperlinks>
    <hyperlink ref="A1"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133"/>
  <sheetViews>
    <sheetView showGridLines="0" topLeftCell="A9" workbookViewId="0">
      <selection activeCell="E13" sqref="E13"/>
    </sheetView>
  </sheetViews>
  <sheetFormatPr baseColWidth="10" defaultColWidth="11" defaultRowHeight="16" x14ac:dyDescent="0.2"/>
  <cols>
    <col min="1" max="1" width="8.1640625" style="832" customWidth="1"/>
    <col min="2" max="2" width="24.1640625" style="745" customWidth="1"/>
    <col min="3" max="3" width="16.1640625" style="745" bestFit="1" customWidth="1"/>
    <col min="4" max="4" width="37" style="745" customWidth="1"/>
    <col min="5" max="5" width="15.1640625" style="833" customWidth="1"/>
    <col min="6" max="6" width="18" style="833" customWidth="1"/>
    <col min="7" max="7" width="15.83203125" style="745" customWidth="1"/>
    <col min="8" max="8" width="15" style="745" customWidth="1"/>
    <col min="9" max="9" width="14.33203125" style="745" customWidth="1"/>
    <col min="10" max="10" width="18.6640625" style="745" bestFit="1" customWidth="1"/>
    <col min="11" max="16384" width="11" style="745"/>
  </cols>
  <sheetData>
    <row r="1" spans="1:20" x14ac:dyDescent="0.2">
      <c r="A1" s="1664" t="s">
        <v>38</v>
      </c>
    </row>
    <row r="2" spans="1:20" x14ac:dyDescent="0.2">
      <c r="B2" s="2882" t="s">
        <v>354</v>
      </c>
      <c r="C2" s="2883"/>
      <c r="E2" s="2882" t="s">
        <v>355</v>
      </c>
      <c r="F2" s="2883"/>
    </row>
    <row r="3" spans="1:20" x14ac:dyDescent="0.2">
      <c r="B3" s="834" t="s">
        <v>356</v>
      </c>
      <c r="C3" s="835">
        <f>2.59</f>
        <v>2.59</v>
      </c>
      <c r="E3" s="836" t="s">
        <v>357</v>
      </c>
      <c r="F3" s="837">
        <f>'General Assumptions'!C28/C6</f>
        <v>28.841246296325135</v>
      </c>
    </row>
    <row r="4" spans="1:20" x14ac:dyDescent="0.2">
      <c r="B4" s="834" t="s">
        <v>220</v>
      </c>
      <c r="C4" s="835">
        <f>2.43</f>
        <v>2.4300000000000002</v>
      </c>
      <c r="E4" s="838" t="s">
        <v>358</v>
      </c>
      <c r="F4" s="839">
        <f>F3*2</f>
        <v>57.68249259265027</v>
      </c>
    </row>
    <row r="5" spans="1:20" x14ac:dyDescent="0.2">
      <c r="B5" s="834" t="s">
        <v>215</v>
      </c>
      <c r="C5" s="840">
        <f>6.06</f>
        <v>6.06</v>
      </c>
    </row>
    <row r="6" spans="1:20" x14ac:dyDescent="0.2">
      <c r="B6" s="841" t="s">
        <v>359</v>
      </c>
      <c r="C6" s="842">
        <f>C3*C4*C5</f>
        <v>38.139822000000002</v>
      </c>
    </row>
    <row r="8" spans="1:20" x14ac:dyDescent="0.2">
      <c r="B8" s="843" t="s">
        <v>71</v>
      </c>
    </row>
    <row r="10" spans="1:20" x14ac:dyDescent="0.2">
      <c r="B10" s="844" t="s">
        <v>360</v>
      </c>
      <c r="C10" s="1443" t="e">
        <f ca="1">SUM(J13:J27)</f>
        <v>#NAME?</v>
      </c>
    </row>
    <row r="12" spans="1:20" ht="48" x14ac:dyDescent="0.2">
      <c r="B12" s="845" t="s">
        <v>228</v>
      </c>
      <c r="C12" s="846" t="s">
        <v>361</v>
      </c>
      <c r="D12" s="847" t="s">
        <v>80</v>
      </c>
      <c r="E12" s="848" t="s">
        <v>362</v>
      </c>
      <c r="F12" s="848" t="s">
        <v>363</v>
      </c>
      <c r="G12" s="847" t="s">
        <v>364</v>
      </c>
      <c r="H12" s="847" t="s">
        <v>365</v>
      </c>
      <c r="I12" s="847" t="s">
        <v>366</v>
      </c>
      <c r="J12" s="849" t="s">
        <v>367</v>
      </c>
      <c r="K12" s="850"/>
      <c r="L12" s="850"/>
      <c r="M12" s="850"/>
      <c r="N12" s="850"/>
      <c r="O12" s="850"/>
      <c r="P12" s="850"/>
      <c r="Q12" s="850"/>
      <c r="R12" s="850"/>
      <c r="S12" s="850"/>
      <c r="T12" s="850"/>
    </row>
    <row r="13" spans="1:20" x14ac:dyDescent="0.2">
      <c r="B13" s="851" t="s">
        <v>238</v>
      </c>
      <c r="C13" s="852" t="s">
        <v>368</v>
      </c>
      <c r="D13" s="853" t="s">
        <v>241</v>
      </c>
      <c r="E13" s="1463" t="e">
        <f ca="1">Inventory!T48</f>
        <v>#NAME?</v>
      </c>
      <c r="F13" s="1451" t="e">
        <f ca="1">Inventory!U48</f>
        <v>#NAME?</v>
      </c>
      <c r="G13" s="1447">
        <f>0.6*0.4*0.005</f>
        <v>1.1999999999999999E-3</v>
      </c>
      <c r="H13" s="1447" t="e">
        <f ca="1">E13*G13</f>
        <v>#NAME?</v>
      </c>
      <c r="I13" s="1457" t="e">
        <f ca="1">H13*F$4</f>
        <v>#NAME?</v>
      </c>
      <c r="J13" s="1458" t="e">
        <f ca="1">I13*F13</f>
        <v>#NAME?</v>
      </c>
    </row>
    <row r="14" spans="1:20" ht="32" x14ac:dyDescent="0.2">
      <c r="B14" s="856" t="s">
        <v>243</v>
      </c>
      <c r="C14" s="857" t="s">
        <v>369</v>
      </c>
      <c r="D14" s="858" t="s">
        <v>245</v>
      </c>
      <c r="E14" s="1464" t="e">
        <f ca="1">Inventory!T49</f>
        <v>#NAME?</v>
      </c>
      <c r="F14" s="1452" t="e">
        <f ca="1">Inventory!U49</f>
        <v>#NAME?</v>
      </c>
      <c r="G14" s="1448">
        <f>0.04*0.06*0.002</f>
        <v>4.7999999999999998E-6</v>
      </c>
      <c r="H14" s="1449" t="e">
        <f ca="1">E14*G14</f>
        <v>#NAME?</v>
      </c>
      <c r="I14" s="1459" t="e">
        <f ca="1">H14*F$4</f>
        <v>#NAME?</v>
      </c>
      <c r="J14" s="1460" t="e">
        <f ca="1">I14*F14</f>
        <v>#NAME?</v>
      </c>
    </row>
    <row r="15" spans="1:20" x14ac:dyDescent="0.2">
      <c r="B15" s="856" t="s">
        <v>370</v>
      </c>
      <c r="C15" s="860" t="s">
        <v>371</v>
      </c>
      <c r="D15" s="861" t="s">
        <v>372</v>
      </c>
      <c r="E15" s="1464" t="e">
        <f ca="1">Inventory!T50</f>
        <v>#NAME?</v>
      </c>
      <c r="F15" s="1452" t="e">
        <f ca="1">Inventory!U50</f>
        <v>#NAME?</v>
      </c>
      <c r="G15" s="1449">
        <f>(5/100)*(5/100)*(2/100)</f>
        <v>5.0000000000000009E-5</v>
      </c>
      <c r="H15" s="1449" t="e">
        <f ca="1">E15*G15</f>
        <v>#NAME?</v>
      </c>
      <c r="I15" s="1459" t="e">
        <f ca="1">H15*F$4</f>
        <v>#NAME?</v>
      </c>
      <c r="J15" s="1460" t="e">
        <f ca="1">I15*F15</f>
        <v>#NAME?</v>
      </c>
    </row>
    <row r="16" spans="1:20" x14ac:dyDescent="0.2">
      <c r="B16" s="856" t="s">
        <v>251</v>
      </c>
      <c r="C16" s="860" t="s">
        <v>373</v>
      </c>
      <c r="D16" s="861" t="s">
        <v>374</v>
      </c>
      <c r="E16" s="1464" t="e">
        <f ca="1">Inventory!T51</f>
        <v>#NAME?</v>
      </c>
      <c r="F16" s="1452" t="e">
        <f ca="1">Inventory!U51</f>
        <v>#NAME?</v>
      </c>
      <c r="G16" s="2884" t="s">
        <v>375</v>
      </c>
      <c r="H16" s="2884"/>
      <c r="I16" s="1459">
        <v>0</v>
      </c>
      <c r="J16" s="1460" t="e">
        <f t="shared" ref="J16:J27" ca="1" si="0">I16*F16</f>
        <v>#NAME?</v>
      </c>
    </row>
    <row r="17" spans="1:10" x14ac:dyDescent="0.2">
      <c r="B17" s="862" t="s">
        <v>255</v>
      </c>
      <c r="C17" s="860" t="s">
        <v>376</v>
      </c>
      <c r="D17" s="863" t="s">
        <v>377</v>
      </c>
      <c r="E17" s="1464" t="e">
        <f ca="1">Inventory!T52</f>
        <v>#NAME?</v>
      </c>
      <c r="F17" s="1452" t="e">
        <f ca="1">Inventory!U52</f>
        <v>#NAME?</v>
      </c>
      <c r="G17" s="1449">
        <f>165/1000*135/1000*2/1000</f>
        <v>4.4550000000000005E-5</v>
      </c>
      <c r="H17" s="1449" t="e">
        <f ca="1">E17*G17</f>
        <v>#NAME?</v>
      </c>
      <c r="I17" s="1459" t="e">
        <f t="shared" ref="I17:I27" ca="1" si="1">H17*F$4</f>
        <v>#NAME?</v>
      </c>
      <c r="J17" s="1460" t="e">
        <f t="shared" ca="1" si="0"/>
        <v>#NAME?</v>
      </c>
    </row>
    <row r="18" spans="1:10" x14ac:dyDescent="0.2">
      <c r="B18" s="856" t="s">
        <v>258</v>
      </c>
      <c r="C18" s="860" t="s">
        <v>369</v>
      </c>
      <c r="D18" s="863" t="s">
        <v>378</v>
      </c>
      <c r="E18" s="1464" t="e">
        <f ca="1">Inventory!T53</f>
        <v>#NAME?</v>
      </c>
      <c r="F18" s="1452" t="e">
        <f ca="1">Inventory!U53</f>
        <v>#NAME?</v>
      </c>
      <c r="G18" s="1449">
        <f>160/1000*82/1000*13/1000</f>
        <v>1.7056000000000002E-4</v>
      </c>
      <c r="H18" s="1449" t="e">
        <f t="shared" ref="H18:H27" ca="1" si="2">E18*G18</f>
        <v>#NAME?</v>
      </c>
      <c r="I18" s="1459" t="e">
        <f t="shared" ca="1" si="1"/>
        <v>#NAME?</v>
      </c>
      <c r="J18" s="1460" t="e">
        <f t="shared" ca="1" si="0"/>
        <v>#NAME?</v>
      </c>
    </row>
    <row r="19" spans="1:10" x14ac:dyDescent="0.2">
      <c r="B19" s="862" t="s">
        <v>262</v>
      </c>
      <c r="C19" s="860" t="s">
        <v>379</v>
      </c>
      <c r="D19" s="861" t="s">
        <v>380</v>
      </c>
      <c r="E19" s="1464" t="e">
        <f ca="1">Inventory!T54</f>
        <v>#NAME?</v>
      </c>
      <c r="F19" s="1452" t="e">
        <f ca="1">Inventory!U54</f>
        <v>#NAME?</v>
      </c>
      <c r="G19" s="1449">
        <f>3.8*1.3716*3.8/1000</f>
        <v>1.9805903999999999E-2</v>
      </c>
      <c r="H19" s="1449" t="e">
        <f t="shared" ca="1" si="2"/>
        <v>#NAME?</v>
      </c>
      <c r="I19" s="1459" t="e">
        <f t="shared" ca="1" si="1"/>
        <v>#NAME?</v>
      </c>
      <c r="J19" s="1460" t="e">
        <f t="shared" ca="1" si="0"/>
        <v>#NAME?</v>
      </c>
    </row>
    <row r="20" spans="1:10" x14ac:dyDescent="0.2">
      <c r="B20" s="862" t="s">
        <v>344</v>
      </c>
      <c r="C20" s="860" t="s">
        <v>381</v>
      </c>
      <c r="D20" s="863" t="s">
        <v>382</v>
      </c>
      <c r="E20" s="1464" t="e">
        <f ca="1">Inventory!T55</f>
        <v>#NAME?</v>
      </c>
      <c r="F20" s="1452" t="e">
        <f ca="1">Inventory!U55</f>
        <v>#NAME?</v>
      </c>
      <c r="G20" s="1449">
        <f>1*2*3/1000</f>
        <v>6.0000000000000001E-3</v>
      </c>
      <c r="H20" s="1449" t="e">
        <f t="shared" ca="1" si="2"/>
        <v>#NAME?</v>
      </c>
      <c r="I20" s="1459" t="e">
        <f t="shared" ca="1" si="1"/>
        <v>#NAME?</v>
      </c>
      <c r="J20" s="1460" t="e">
        <f t="shared" ca="1" si="0"/>
        <v>#NAME?</v>
      </c>
    </row>
    <row r="21" spans="1:10" x14ac:dyDescent="0.2">
      <c r="B21" s="856" t="s">
        <v>268</v>
      </c>
      <c r="C21" s="860" t="s">
        <v>376</v>
      </c>
      <c r="D21" s="863" t="s">
        <v>383</v>
      </c>
      <c r="E21" s="1464" t="e">
        <f ca="1">Inventory!T56</f>
        <v>#NAME?</v>
      </c>
      <c r="F21" s="1452" t="e">
        <f ca="1">Inventory!U56</f>
        <v>#NAME?</v>
      </c>
      <c r="G21" s="1449">
        <f>45/100*45/100*4/1000</f>
        <v>8.1000000000000006E-4</v>
      </c>
      <c r="H21" s="1449" t="e">
        <f t="shared" ca="1" si="2"/>
        <v>#NAME?</v>
      </c>
      <c r="I21" s="1459" t="e">
        <f t="shared" ca="1" si="1"/>
        <v>#NAME?</v>
      </c>
      <c r="J21" s="1460" t="e">
        <f t="shared" ca="1" si="0"/>
        <v>#NAME?</v>
      </c>
    </row>
    <row r="22" spans="1:10" ht="32" x14ac:dyDescent="0.2">
      <c r="B22" s="856" t="s">
        <v>272</v>
      </c>
      <c r="C22" s="860" t="s">
        <v>369</v>
      </c>
      <c r="D22" s="864" t="s">
        <v>384</v>
      </c>
      <c r="E22" s="1464" t="e">
        <f ca="1">Inventory!T57</f>
        <v>#NAME?</v>
      </c>
      <c r="F22" s="1452" t="e">
        <f ca="1">Inventory!U57</f>
        <v>#NAME?</v>
      </c>
      <c r="G22" s="1449">
        <f>3/100*3/100*3/1000</f>
        <v>2.7E-6</v>
      </c>
      <c r="H22" s="1449" t="e">
        <f t="shared" ca="1" si="2"/>
        <v>#NAME?</v>
      </c>
      <c r="I22" s="1459" t="e">
        <f t="shared" ca="1" si="1"/>
        <v>#NAME?</v>
      </c>
      <c r="J22" s="1460" t="e">
        <f t="shared" ca="1" si="0"/>
        <v>#NAME?</v>
      </c>
    </row>
    <row r="23" spans="1:10" x14ac:dyDescent="0.2">
      <c r="B23" s="856" t="s">
        <v>385</v>
      </c>
      <c r="C23" s="860" t="s">
        <v>369</v>
      </c>
      <c r="D23" s="861" t="s">
        <v>386</v>
      </c>
      <c r="E23" s="1464" t="e">
        <f ca="1">Inventory!T58</f>
        <v>#NAME?</v>
      </c>
      <c r="F23" s="1452" t="e">
        <f ca="1">Inventory!U58</f>
        <v>#NAME?</v>
      </c>
      <c r="G23" s="1449">
        <f>30/1000*35/1000*45/1000</f>
        <v>4.725000000000001E-5</v>
      </c>
      <c r="H23" s="1449" t="e">
        <f t="shared" ca="1" si="2"/>
        <v>#NAME?</v>
      </c>
      <c r="I23" s="1459" t="e">
        <f t="shared" ca="1" si="1"/>
        <v>#NAME?</v>
      </c>
      <c r="J23" s="1460" t="e">
        <f t="shared" ca="1" si="0"/>
        <v>#NAME?</v>
      </c>
    </row>
    <row r="24" spans="1:10" x14ac:dyDescent="0.2">
      <c r="B24" s="856" t="s">
        <v>279</v>
      </c>
      <c r="C24" s="860" t="s">
        <v>379</v>
      </c>
      <c r="D24" s="864" t="s">
        <v>387</v>
      </c>
      <c r="E24" s="1464" t="e">
        <f ca="1">Inventory!T59</f>
        <v>#NAME?</v>
      </c>
      <c r="F24" s="1452" t="e">
        <f ca="1">Inventory!U59</f>
        <v>#NAME?</v>
      </c>
      <c r="G24" s="1449">
        <f>1*1.4732*2/1000</f>
        <v>2.9464000000000001E-3</v>
      </c>
      <c r="H24" s="1449" t="e">
        <f ca="1">E24*G24</f>
        <v>#NAME?</v>
      </c>
      <c r="I24" s="1459" t="e">
        <f t="shared" ca="1" si="1"/>
        <v>#NAME?</v>
      </c>
      <c r="J24" s="1460" t="e">
        <f t="shared" ca="1" si="0"/>
        <v>#NAME?</v>
      </c>
    </row>
    <row r="25" spans="1:10" ht="32" x14ac:dyDescent="0.2">
      <c r="B25" s="856" t="s">
        <v>282</v>
      </c>
      <c r="C25" s="860" t="s">
        <v>388</v>
      </c>
      <c r="D25" s="863" t="s">
        <v>389</v>
      </c>
      <c r="E25" s="1464" t="e">
        <f ca="1">Inventory!T60</f>
        <v>#NAME?</v>
      </c>
      <c r="F25" s="1452" t="e">
        <f ca="1">Inventory!U60</f>
        <v>#NAME?</v>
      </c>
      <c r="G25" s="1449">
        <f>1.5*0.25*0.25</f>
        <v>9.375E-2</v>
      </c>
      <c r="H25" s="1449" t="e">
        <f t="shared" ca="1" si="2"/>
        <v>#NAME?</v>
      </c>
      <c r="I25" s="1459" t="e">
        <f t="shared" ca="1" si="1"/>
        <v>#NAME?</v>
      </c>
      <c r="J25" s="1460" t="e">
        <f t="shared" ca="1" si="0"/>
        <v>#NAME?</v>
      </c>
    </row>
    <row r="26" spans="1:10" x14ac:dyDescent="0.2">
      <c r="B26" s="856" t="s">
        <v>286</v>
      </c>
      <c r="C26" s="860" t="s">
        <v>369</v>
      </c>
      <c r="D26" s="864" t="s">
        <v>390</v>
      </c>
      <c r="E26" s="1464" t="e">
        <f ca="1">Inventory!T61</f>
        <v>#NAME?</v>
      </c>
      <c r="F26" s="1452" t="e">
        <f ca="1">Inventory!U61</f>
        <v>#NAME?</v>
      </c>
      <c r="G26" s="2885" t="s">
        <v>375</v>
      </c>
      <c r="H26" s="2885"/>
      <c r="I26" s="1459">
        <f t="shared" si="1"/>
        <v>0</v>
      </c>
      <c r="J26" s="1460" t="e">
        <f t="shared" ca="1" si="0"/>
        <v>#NAME?</v>
      </c>
    </row>
    <row r="27" spans="1:10" ht="32" x14ac:dyDescent="0.2">
      <c r="B27" s="1639" t="s">
        <v>391</v>
      </c>
      <c r="C27" s="865" t="s">
        <v>368</v>
      </c>
      <c r="D27" s="866" t="s">
        <v>392</v>
      </c>
      <c r="E27" s="1465" t="e">
        <f ca="1">Inventory!T62</f>
        <v>#NAME?</v>
      </c>
      <c r="F27" s="1453" t="e">
        <f ca="1">Inventory!U62</f>
        <v>#NAME?</v>
      </c>
      <c r="G27" s="1450" t="e">
        <f ca="1">E27/900000</f>
        <v>#NAME?</v>
      </c>
      <c r="H27" s="1450" t="e">
        <f t="shared" ca="1" si="2"/>
        <v>#NAME?</v>
      </c>
      <c r="I27" s="1461" t="e">
        <f t="shared" ca="1" si="1"/>
        <v>#NAME?</v>
      </c>
      <c r="J27" s="1462" t="e">
        <f t="shared" ca="1" si="0"/>
        <v>#NAME?</v>
      </c>
    </row>
    <row r="28" spans="1:10" x14ac:dyDescent="0.2">
      <c r="J28" s="869"/>
    </row>
    <row r="29" spans="1:10" s="871" customFormat="1" ht="3" customHeight="1" x14ac:dyDescent="0.2">
      <c r="A29" s="870"/>
      <c r="E29" s="872"/>
      <c r="F29" s="872"/>
      <c r="J29" s="873"/>
    </row>
    <row r="31" spans="1:10" x14ac:dyDescent="0.2">
      <c r="B31" s="843" t="s">
        <v>72</v>
      </c>
    </row>
    <row r="33" spans="2:20" x14ac:dyDescent="0.2">
      <c r="B33" s="844" t="s">
        <v>360</v>
      </c>
      <c r="C33" s="1443" t="e">
        <f ca="1">SUM(J36:J50)</f>
        <v>#NAME?</v>
      </c>
    </row>
    <row r="35" spans="2:20" ht="48" x14ac:dyDescent="0.2">
      <c r="B35" s="845" t="s">
        <v>228</v>
      </c>
      <c r="C35" s="846" t="s">
        <v>361</v>
      </c>
      <c r="D35" s="847" t="s">
        <v>80</v>
      </c>
      <c r="E35" s="848" t="s">
        <v>362</v>
      </c>
      <c r="F35" s="848" t="s">
        <v>363</v>
      </c>
      <c r="G35" s="847" t="s">
        <v>364</v>
      </c>
      <c r="H35" s="847" t="s">
        <v>365</v>
      </c>
      <c r="I35" s="847" t="s">
        <v>366</v>
      </c>
      <c r="J35" s="849" t="s">
        <v>367</v>
      </c>
      <c r="K35" s="850"/>
      <c r="L35" s="850"/>
      <c r="M35" s="850"/>
      <c r="N35" s="850"/>
      <c r="O35" s="850"/>
      <c r="P35" s="850"/>
      <c r="Q35" s="850"/>
      <c r="R35" s="850"/>
      <c r="S35" s="850"/>
      <c r="T35" s="850"/>
    </row>
    <row r="36" spans="2:20" x14ac:dyDescent="0.2">
      <c r="B36" s="851" t="s">
        <v>238</v>
      </c>
      <c r="C36" s="852" t="s">
        <v>368</v>
      </c>
      <c r="D36" s="853" t="s">
        <v>241</v>
      </c>
      <c r="E36" s="1463" t="e">
        <f ca="1">Inventory!T82</f>
        <v>#NAME?</v>
      </c>
      <c r="F36" s="1451" t="e">
        <f ca="1">Inventory!U82</f>
        <v>#NAME?</v>
      </c>
      <c r="G36" s="1447">
        <f>0.6*0.4*0.005</f>
        <v>1.1999999999999999E-3</v>
      </c>
      <c r="H36" s="1447" t="e">
        <f ca="1">E36*G36</f>
        <v>#NAME?</v>
      </c>
      <c r="I36" s="1454" t="e">
        <f ca="1">H36*F$4</f>
        <v>#NAME?</v>
      </c>
      <c r="J36" s="1422" t="e">
        <f ca="1">I36*F36</f>
        <v>#NAME?</v>
      </c>
    </row>
    <row r="37" spans="2:20" ht="32" x14ac:dyDescent="0.2">
      <c r="B37" s="856" t="s">
        <v>243</v>
      </c>
      <c r="C37" s="857" t="s">
        <v>369</v>
      </c>
      <c r="D37" s="858" t="s">
        <v>393</v>
      </c>
      <c r="E37" s="1464" t="e">
        <f ca="1">Inventory!T83</f>
        <v>#NAME?</v>
      </c>
      <c r="F37" s="1452" t="e">
        <f ca="1">Inventory!U83</f>
        <v>#NAME?</v>
      </c>
      <c r="G37" s="1448">
        <f>0.04*0.06*0.002</f>
        <v>4.7999999999999998E-6</v>
      </c>
      <c r="H37" s="1449" t="e">
        <f ca="1">E37*G37</f>
        <v>#NAME?</v>
      </c>
      <c r="I37" s="1455" t="e">
        <f ca="1">H37*F$4</f>
        <v>#NAME?</v>
      </c>
      <c r="J37" s="1423" t="e">
        <f ca="1">I37*F37</f>
        <v>#NAME?</v>
      </c>
    </row>
    <row r="38" spans="2:20" x14ac:dyDescent="0.2">
      <c r="B38" s="856" t="s">
        <v>370</v>
      </c>
      <c r="C38" s="860" t="s">
        <v>371</v>
      </c>
      <c r="D38" s="861" t="s">
        <v>394</v>
      </c>
      <c r="E38" s="1464" t="e">
        <f ca="1">Inventory!T84</f>
        <v>#NAME?</v>
      </c>
      <c r="F38" s="1452" t="e">
        <f ca="1">Inventory!U84</f>
        <v>#NAME?</v>
      </c>
      <c r="G38" s="1449">
        <f>(5/100)*(5/100)*(2/100)</f>
        <v>5.0000000000000009E-5</v>
      </c>
      <c r="H38" s="1449" t="e">
        <f ca="1">E38*G38</f>
        <v>#NAME?</v>
      </c>
      <c r="I38" s="1455" t="e">
        <f ca="1">H38*F$4</f>
        <v>#NAME?</v>
      </c>
      <c r="J38" s="1423" t="e">
        <f ca="1">I38*F38</f>
        <v>#NAME?</v>
      </c>
    </row>
    <row r="39" spans="2:20" ht="16.25" customHeight="1" x14ac:dyDescent="0.2">
      <c r="B39" s="856" t="s">
        <v>251</v>
      </c>
      <c r="C39" s="860" t="s">
        <v>373</v>
      </c>
      <c r="D39" s="861" t="s">
        <v>253</v>
      </c>
      <c r="E39" s="1464" t="e">
        <f ca="1">Inventory!T85</f>
        <v>#NAME?</v>
      </c>
      <c r="F39" s="1452" t="e">
        <f ca="1">Inventory!U85</f>
        <v>#NAME?</v>
      </c>
      <c r="G39" s="2887" t="s">
        <v>375</v>
      </c>
      <c r="H39" s="2887"/>
      <c r="I39" s="1455">
        <v>0</v>
      </c>
      <c r="J39" s="1423" t="e">
        <f t="shared" ref="J39:J50" ca="1" si="3">I39*F39</f>
        <v>#NAME?</v>
      </c>
    </row>
    <row r="40" spans="2:20" ht="16.25" customHeight="1" x14ac:dyDescent="0.2">
      <c r="B40" s="862" t="s">
        <v>255</v>
      </c>
      <c r="C40" s="860" t="s">
        <v>376</v>
      </c>
      <c r="D40" s="863" t="s">
        <v>377</v>
      </c>
      <c r="E40" s="1464" t="e">
        <f ca="1">Inventory!T86</f>
        <v>#NAME?</v>
      </c>
      <c r="F40" s="1452" t="e">
        <f ca="1">Inventory!U86</f>
        <v>#NAME?</v>
      </c>
      <c r="G40" s="1449">
        <f>165/1000*135/1000*2/1000</f>
        <v>4.4550000000000005E-5</v>
      </c>
      <c r="H40" s="1449" t="e">
        <f ca="1">E40*G40</f>
        <v>#NAME?</v>
      </c>
      <c r="I40" s="1455" t="e">
        <f t="shared" ref="I40:I50" ca="1" si="4">H40*F$4</f>
        <v>#NAME?</v>
      </c>
      <c r="J40" s="1423" t="e">
        <f t="shared" ca="1" si="3"/>
        <v>#NAME?</v>
      </c>
    </row>
    <row r="41" spans="2:20" ht="16.25" customHeight="1" x14ac:dyDescent="0.2">
      <c r="B41" s="856" t="s">
        <v>258</v>
      </c>
      <c r="C41" s="860" t="s">
        <v>369</v>
      </c>
      <c r="D41" s="863" t="s">
        <v>378</v>
      </c>
      <c r="E41" s="1464" t="e">
        <f ca="1">Inventory!T87</f>
        <v>#NAME?</v>
      </c>
      <c r="F41" s="1452" t="e">
        <f ca="1">Inventory!U87</f>
        <v>#NAME?</v>
      </c>
      <c r="G41" s="1449">
        <f>160/1000*82/1000*13/1000</f>
        <v>1.7056000000000002E-4</v>
      </c>
      <c r="H41" s="1449" t="e">
        <f t="shared" ref="H41:H50" ca="1" si="5">E41*G41</f>
        <v>#NAME?</v>
      </c>
      <c r="I41" s="1455" t="e">
        <f t="shared" ca="1" si="4"/>
        <v>#NAME?</v>
      </c>
      <c r="J41" s="1423" t="e">
        <f t="shared" ca="1" si="3"/>
        <v>#NAME?</v>
      </c>
    </row>
    <row r="42" spans="2:20" ht="16.25" customHeight="1" x14ac:dyDescent="0.2">
      <c r="B42" s="862" t="s">
        <v>262</v>
      </c>
      <c r="C42" s="860" t="s">
        <v>379</v>
      </c>
      <c r="D42" s="861" t="s">
        <v>380</v>
      </c>
      <c r="E42" s="1464" t="e">
        <f ca="1">Inventory!T88</f>
        <v>#NAME?</v>
      </c>
      <c r="F42" s="1452" t="e">
        <f ca="1">Inventory!U88</f>
        <v>#NAME?</v>
      </c>
      <c r="G42" s="1449">
        <f>3.8*1.3716*3.8/1000</f>
        <v>1.9805903999999999E-2</v>
      </c>
      <c r="H42" s="1449" t="e">
        <f t="shared" ca="1" si="5"/>
        <v>#NAME?</v>
      </c>
      <c r="I42" s="1455" t="e">
        <f t="shared" ca="1" si="4"/>
        <v>#NAME?</v>
      </c>
      <c r="J42" s="1423" t="e">
        <f t="shared" ca="1" si="3"/>
        <v>#NAME?</v>
      </c>
    </row>
    <row r="43" spans="2:20" ht="16.25" customHeight="1" x14ac:dyDescent="0.2">
      <c r="B43" s="862" t="s">
        <v>344</v>
      </c>
      <c r="C43" s="860" t="s">
        <v>381</v>
      </c>
      <c r="D43" s="863" t="s">
        <v>267</v>
      </c>
      <c r="E43" s="1464" t="e">
        <f ca="1">Inventory!T89</f>
        <v>#NAME?</v>
      </c>
      <c r="F43" s="1452" t="e">
        <f ca="1">Inventory!U89</f>
        <v>#NAME?</v>
      </c>
      <c r="G43" s="1449">
        <f>1*2*3/1000</f>
        <v>6.0000000000000001E-3</v>
      </c>
      <c r="H43" s="1449" t="e">
        <f t="shared" ca="1" si="5"/>
        <v>#NAME?</v>
      </c>
      <c r="I43" s="1455" t="e">
        <f t="shared" ca="1" si="4"/>
        <v>#NAME?</v>
      </c>
      <c r="J43" s="1423" t="e">
        <f t="shared" ca="1" si="3"/>
        <v>#NAME?</v>
      </c>
    </row>
    <row r="44" spans="2:20" ht="16.25" customHeight="1" x14ac:dyDescent="0.2">
      <c r="B44" s="856" t="s">
        <v>268</v>
      </c>
      <c r="C44" s="860" t="s">
        <v>376</v>
      </c>
      <c r="D44" s="863" t="s">
        <v>270</v>
      </c>
      <c r="E44" s="1464" t="e">
        <f ca="1">Inventory!T90</f>
        <v>#NAME?</v>
      </c>
      <c r="F44" s="1452" t="e">
        <f ca="1">Inventory!U90</f>
        <v>#NAME?</v>
      </c>
      <c r="G44" s="1449">
        <f>45/100*45/100*4/1000</f>
        <v>8.1000000000000006E-4</v>
      </c>
      <c r="H44" s="1449" t="e">
        <f t="shared" ca="1" si="5"/>
        <v>#NAME?</v>
      </c>
      <c r="I44" s="1455" t="e">
        <f t="shared" ca="1" si="4"/>
        <v>#NAME?</v>
      </c>
      <c r="J44" s="1423" t="e">
        <f t="shared" ca="1" si="3"/>
        <v>#NAME?</v>
      </c>
    </row>
    <row r="45" spans="2:20" ht="32" customHeight="1" x14ac:dyDescent="0.2">
      <c r="B45" s="856" t="s">
        <v>272</v>
      </c>
      <c r="C45" s="860" t="s">
        <v>369</v>
      </c>
      <c r="D45" s="864" t="s">
        <v>384</v>
      </c>
      <c r="E45" s="1464" t="e">
        <f ca="1">Inventory!T91</f>
        <v>#NAME?</v>
      </c>
      <c r="F45" s="1452" t="e">
        <f ca="1">Inventory!U91</f>
        <v>#NAME?</v>
      </c>
      <c r="G45" s="1449">
        <f>3/100*3/100*3/1000</f>
        <v>2.7E-6</v>
      </c>
      <c r="H45" s="1449" t="e">
        <f t="shared" ca="1" si="5"/>
        <v>#NAME?</v>
      </c>
      <c r="I45" s="1455" t="e">
        <f t="shared" ca="1" si="4"/>
        <v>#NAME?</v>
      </c>
      <c r="J45" s="1423" t="e">
        <f t="shared" ca="1" si="3"/>
        <v>#NAME?</v>
      </c>
    </row>
    <row r="46" spans="2:20" ht="16.25" customHeight="1" x14ac:dyDescent="0.2">
      <c r="B46" s="856" t="s">
        <v>385</v>
      </c>
      <c r="C46" s="860" t="s">
        <v>369</v>
      </c>
      <c r="D46" s="861" t="s">
        <v>386</v>
      </c>
      <c r="E46" s="1464" t="e">
        <f ca="1">Inventory!T92</f>
        <v>#NAME?</v>
      </c>
      <c r="F46" s="1452" t="e">
        <f ca="1">Inventory!U92</f>
        <v>#NAME?</v>
      </c>
      <c r="G46" s="1449">
        <f>30/1000*35/1000*45/1000</f>
        <v>4.725000000000001E-5</v>
      </c>
      <c r="H46" s="1449" t="e">
        <f t="shared" ca="1" si="5"/>
        <v>#NAME?</v>
      </c>
      <c r="I46" s="1455" t="e">
        <f t="shared" ca="1" si="4"/>
        <v>#NAME?</v>
      </c>
      <c r="J46" s="1423" t="e">
        <f t="shared" ca="1" si="3"/>
        <v>#NAME?</v>
      </c>
    </row>
    <row r="47" spans="2:20" ht="16.25" customHeight="1" x14ac:dyDescent="0.2">
      <c r="B47" s="856" t="s">
        <v>279</v>
      </c>
      <c r="C47" s="860" t="s">
        <v>379</v>
      </c>
      <c r="D47" s="864" t="s">
        <v>387</v>
      </c>
      <c r="E47" s="1464" t="e">
        <f ca="1">Inventory!T93</f>
        <v>#NAME?</v>
      </c>
      <c r="F47" s="1452" t="e">
        <f ca="1">Inventory!U93</f>
        <v>#NAME?</v>
      </c>
      <c r="G47" s="1449">
        <f>1*1.4732*2/1000</f>
        <v>2.9464000000000001E-3</v>
      </c>
      <c r="H47" s="1449" t="e">
        <f ca="1">E47*G47</f>
        <v>#NAME?</v>
      </c>
      <c r="I47" s="1455" t="e">
        <f t="shared" ca="1" si="4"/>
        <v>#NAME?</v>
      </c>
      <c r="J47" s="1423" t="e">
        <f t="shared" ca="1" si="3"/>
        <v>#NAME?</v>
      </c>
    </row>
    <row r="48" spans="2:20" ht="32" customHeight="1" x14ac:dyDescent="0.2">
      <c r="B48" s="856" t="s">
        <v>282</v>
      </c>
      <c r="C48" s="860" t="s">
        <v>388</v>
      </c>
      <c r="D48" s="863" t="s">
        <v>389</v>
      </c>
      <c r="E48" s="1464" t="e">
        <f ca="1">Inventory!T94</f>
        <v>#NAME?</v>
      </c>
      <c r="F48" s="1452" t="e">
        <f ca="1">Inventory!U94</f>
        <v>#NAME?</v>
      </c>
      <c r="G48" s="1449">
        <f>1.5*0.25*0.25</f>
        <v>9.375E-2</v>
      </c>
      <c r="H48" s="1449" t="e">
        <f t="shared" ca="1" si="5"/>
        <v>#NAME?</v>
      </c>
      <c r="I48" s="1455" t="e">
        <f t="shared" ca="1" si="4"/>
        <v>#NAME?</v>
      </c>
      <c r="J48" s="1423" t="e">
        <f t="shared" ca="1" si="3"/>
        <v>#NAME?</v>
      </c>
    </row>
    <row r="49" spans="1:20" ht="16.25" customHeight="1" x14ac:dyDescent="0.2">
      <c r="B49" s="856" t="s">
        <v>286</v>
      </c>
      <c r="C49" s="860" t="s">
        <v>369</v>
      </c>
      <c r="D49" s="864" t="s">
        <v>390</v>
      </c>
      <c r="E49" s="1464" t="e">
        <f ca="1">Inventory!T95</f>
        <v>#NAME?</v>
      </c>
      <c r="F49" s="1452" t="e">
        <f ca="1">Inventory!U95</f>
        <v>#NAME?</v>
      </c>
      <c r="G49" s="2888" t="s">
        <v>375</v>
      </c>
      <c r="H49" s="2888"/>
      <c r="I49" s="1455">
        <f t="shared" si="4"/>
        <v>0</v>
      </c>
      <c r="J49" s="1423" t="e">
        <f t="shared" ca="1" si="3"/>
        <v>#NAME?</v>
      </c>
    </row>
    <row r="50" spans="1:20" ht="32" customHeight="1" x14ac:dyDescent="0.2">
      <c r="B50" s="1639" t="s">
        <v>391</v>
      </c>
      <c r="C50" s="865" t="s">
        <v>368</v>
      </c>
      <c r="D50" s="866" t="s">
        <v>392</v>
      </c>
      <c r="E50" s="1465" t="e">
        <f ca="1">Inventory!T96</f>
        <v>#NAME?</v>
      </c>
      <c r="F50" s="1453" t="e">
        <f ca="1">Inventory!U96</f>
        <v>#NAME?</v>
      </c>
      <c r="G50" s="1450" t="e">
        <f ca="1">E50/900000</f>
        <v>#NAME?</v>
      </c>
      <c r="H50" s="1450" t="e">
        <f t="shared" ca="1" si="5"/>
        <v>#NAME?</v>
      </c>
      <c r="I50" s="1456" t="e">
        <f t="shared" ca="1" si="4"/>
        <v>#NAME?</v>
      </c>
      <c r="J50" s="1425" t="e">
        <f t="shared" ca="1" si="3"/>
        <v>#NAME?</v>
      </c>
    </row>
    <row r="51" spans="1:20" ht="16.25" customHeight="1" x14ac:dyDescent="0.2"/>
    <row r="52" spans="1:20" s="871" customFormat="1" ht="3.75" customHeight="1" x14ac:dyDescent="0.2">
      <c r="A52" s="870"/>
      <c r="E52" s="872"/>
      <c r="F52" s="872"/>
    </row>
    <row r="54" spans="1:20" x14ac:dyDescent="0.2">
      <c r="B54" s="843" t="s">
        <v>73</v>
      </c>
      <c r="C54" s="746"/>
    </row>
    <row r="55" spans="1:20" x14ac:dyDescent="0.2">
      <c r="B55" s="746"/>
      <c r="C55" s="746"/>
    </row>
    <row r="56" spans="1:20" x14ac:dyDescent="0.2">
      <c r="B56" s="844" t="s">
        <v>360</v>
      </c>
      <c r="C56" s="1443" t="e">
        <f ca="1">SUM(J59:J73)</f>
        <v>#NAME?</v>
      </c>
    </row>
    <row r="58" spans="1:20" ht="48" x14ac:dyDescent="0.2">
      <c r="B58" s="845" t="s">
        <v>228</v>
      </c>
      <c r="C58" s="846" t="s">
        <v>361</v>
      </c>
      <c r="D58" s="847" t="s">
        <v>80</v>
      </c>
      <c r="E58" s="848" t="s">
        <v>362</v>
      </c>
      <c r="F58" s="848" t="s">
        <v>363</v>
      </c>
      <c r="G58" s="847" t="s">
        <v>364</v>
      </c>
      <c r="H58" s="847" t="s">
        <v>365</v>
      </c>
      <c r="I58" s="847" t="s">
        <v>366</v>
      </c>
      <c r="J58" s="849" t="s">
        <v>367</v>
      </c>
      <c r="K58" s="850"/>
      <c r="L58" s="850"/>
      <c r="M58" s="850"/>
      <c r="N58" s="850"/>
      <c r="O58" s="850"/>
      <c r="P58" s="850"/>
      <c r="Q58" s="850"/>
      <c r="R58" s="850"/>
      <c r="S58" s="850"/>
      <c r="T58" s="850"/>
    </row>
    <row r="59" spans="1:20" x14ac:dyDescent="0.2">
      <c r="B59" s="874" t="s">
        <v>238</v>
      </c>
      <c r="C59" s="852" t="s">
        <v>368</v>
      </c>
      <c r="D59" s="875" t="s">
        <v>241</v>
      </c>
      <c r="E59" s="1463" t="e">
        <f ca="1">Inventory!T116</f>
        <v>#NAME?</v>
      </c>
      <c r="F59" s="854" t="e">
        <f ca="1">Inventory!U116</f>
        <v>#NAME?</v>
      </c>
      <c r="G59" s="1447">
        <f>0.6*0.4*0.005</f>
        <v>1.1999999999999999E-3</v>
      </c>
      <c r="H59" s="1447" t="e">
        <f ca="1">E59*G59</f>
        <v>#NAME?</v>
      </c>
      <c r="I59" s="1454" t="e">
        <f ca="1">H59*F$4</f>
        <v>#NAME?</v>
      </c>
      <c r="J59" s="1422" t="e">
        <f ca="1">I59*F59</f>
        <v>#NAME?</v>
      </c>
    </row>
    <row r="60" spans="1:20" x14ac:dyDescent="0.2">
      <c r="B60" s="856" t="s">
        <v>243</v>
      </c>
      <c r="C60" s="860" t="s">
        <v>369</v>
      </c>
      <c r="D60" s="861" t="s">
        <v>245</v>
      </c>
      <c r="E60" s="1464" t="e">
        <f ca="1">Inventory!T117</f>
        <v>#NAME?</v>
      </c>
      <c r="F60" s="810" t="e">
        <f ca="1">Inventory!U117</f>
        <v>#NAME?</v>
      </c>
      <c r="G60" s="1448">
        <f>0.04*0.06*0.002</f>
        <v>4.7999999999999998E-6</v>
      </c>
      <c r="H60" s="1449" t="e">
        <f ca="1">E60*G60</f>
        <v>#NAME?</v>
      </c>
      <c r="I60" s="1455" t="e">
        <f ca="1">H60*F$4</f>
        <v>#NAME?</v>
      </c>
      <c r="J60" s="1423" t="e">
        <f ca="1">I60*F60</f>
        <v>#NAME?</v>
      </c>
    </row>
    <row r="61" spans="1:20" x14ac:dyDescent="0.2">
      <c r="B61" s="856" t="s">
        <v>370</v>
      </c>
      <c r="C61" s="860" t="s">
        <v>371</v>
      </c>
      <c r="D61" s="861" t="s">
        <v>394</v>
      </c>
      <c r="E61" s="1464" t="e">
        <f ca="1">Inventory!T118</f>
        <v>#NAME?</v>
      </c>
      <c r="F61" s="810" t="e">
        <f ca="1">Inventory!U118</f>
        <v>#NAME?</v>
      </c>
      <c r="G61" s="1449">
        <f>(5/100)*(5/100)*(2/100)</f>
        <v>5.0000000000000009E-5</v>
      </c>
      <c r="H61" s="1449" t="e">
        <f ca="1">E61*G61</f>
        <v>#NAME?</v>
      </c>
      <c r="I61" s="1455" t="e">
        <f ca="1">H61*F$4</f>
        <v>#NAME?</v>
      </c>
      <c r="J61" s="1423" t="e">
        <f ca="1">I61*F61</f>
        <v>#NAME?</v>
      </c>
    </row>
    <row r="62" spans="1:20" x14ac:dyDescent="0.2">
      <c r="B62" s="856" t="s">
        <v>251</v>
      </c>
      <c r="C62" s="860" t="s">
        <v>373</v>
      </c>
      <c r="D62" s="861" t="s">
        <v>253</v>
      </c>
      <c r="E62" s="1464" t="e">
        <f ca="1">Inventory!T119</f>
        <v>#NAME?</v>
      </c>
      <c r="F62" s="810" t="e">
        <f ca="1">Inventory!U119</f>
        <v>#NAME?</v>
      </c>
      <c r="G62" s="2887" t="s">
        <v>375</v>
      </c>
      <c r="H62" s="2887"/>
      <c r="I62" s="1455">
        <v>0</v>
      </c>
      <c r="J62" s="1423" t="e">
        <f t="shared" ref="J62:J73" ca="1" si="6">I62*F62</f>
        <v>#NAME?</v>
      </c>
    </row>
    <row r="63" spans="1:20" ht="16.25" customHeight="1" x14ac:dyDescent="0.2">
      <c r="B63" s="862" t="s">
        <v>255</v>
      </c>
      <c r="C63" s="860" t="s">
        <v>376</v>
      </c>
      <c r="D63" s="863" t="s">
        <v>377</v>
      </c>
      <c r="E63" s="1464" t="e">
        <f ca="1">Inventory!T120</f>
        <v>#NAME?</v>
      </c>
      <c r="F63" s="810" t="e">
        <f ca="1">Inventory!U120</f>
        <v>#NAME?</v>
      </c>
      <c r="G63" s="1449">
        <f>165/1000*135/1000*2/1000</f>
        <v>4.4550000000000005E-5</v>
      </c>
      <c r="H63" s="1449" t="e">
        <f ca="1">E63*G63</f>
        <v>#NAME?</v>
      </c>
      <c r="I63" s="1455" t="e">
        <f t="shared" ref="I63:I73" ca="1" si="7">H63*F$4</f>
        <v>#NAME?</v>
      </c>
      <c r="J63" s="1423" t="e">
        <f t="shared" ca="1" si="6"/>
        <v>#NAME?</v>
      </c>
    </row>
    <row r="64" spans="1:20" ht="16.25" customHeight="1" x14ac:dyDescent="0.2">
      <c r="B64" s="856" t="s">
        <v>258</v>
      </c>
      <c r="C64" s="860" t="s">
        <v>369</v>
      </c>
      <c r="D64" s="863" t="s">
        <v>378</v>
      </c>
      <c r="E64" s="1464" t="e">
        <f ca="1">Inventory!T121</f>
        <v>#NAME?</v>
      </c>
      <c r="F64" s="810" t="e">
        <f ca="1">Inventory!U121</f>
        <v>#NAME?</v>
      </c>
      <c r="G64" s="1449">
        <f>160/1000*82/1000*13/1000</f>
        <v>1.7056000000000002E-4</v>
      </c>
      <c r="H64" s="1449" t="e">
        <f t="shared" ref="H64:H73" ca="1" si="8">E64*G64</f>
        <v>#NAME?</v>
      </c>
      <c r="I64" s="1455" t="e">
        <f t="shared" ca="1" si="7"/>
        <v>#NAME?</v>
      </c>
      <c r="J64" s="1423" t="e">
        <f t="shared" ca="1" si="6"/>
        <v>#NAME?</v>
      </c>
    </row>
    <row r="65" spans="1:10" ht="16.25" customHeight="1" x14ac:dyDescent="0.2">
      <c r="B65" s="862" t="s">
        <v>262</v>
      </c>
      <c r="C65" s="860" t="s">
        <v>379</v>
      </c>
      <c r="D65" s="861" t="s">
        <v>380</v>
      </c>
      <c r="E65" s="1464" t="e">
        <f ca="1">Inventory!T122</f>
        <v>#NAME?</v>
      </c>
      <c r="F65" s="810" t="e">
        <f ca="1">Inventory!U122</f>
        <v>#NAME?</v>
      </c>
      <c r="G65" s="1449">
        <f>3.8*1.3716*3.8/1000</f>
        <v>1.9805903999999999E-2</v>
      </c>
      <c r="H65" s="1449" t="e">
        <f t="shared" ca="1" si="8"/>
        <v>#NAME?</v>
      </c>
      <c r="I65" s="1455" t="e">
        <f t="shared" ca="1" si="7"/>
        <v>#NAME?</v>
      </c>
      <c r="J65" s="1423" t="e">
        <f t="shared" ca="1" si="6"/>
        <v>#NAME?</v>
      </c>
    </row>
    <row r="66" spans="1:10" ht="16.25" customHeight="1" x14ac:dyDescent="0.2">
      <c r="B66" s="862" t="s">
        <v>344</v>
      </c>
      <c r="C66" s="860" t="s">
        <v>381</v>
      </c>
      <c r="D66" s="863" t="s">
        <v>267</v>
      </c>
      <c r="E66" s="1464" t="e">
        <f ca="1">Inventory!T123</f>
        <v>#NAME?</v>
      </c>
      <c r="F66" s="810" t="e">
        <f ca="1">Inventory!U123</f>
        <v>#NAME?</v>
      </c>
      <c r="G66" s="1449">
        <f>1*2*3/1000</f>
        <v>6.0000000000000001E-3</v>
      </c>
      <c r="H66" s="1449" t="e">
        <f t="shared" ca="1" si="8"/>
        <v>#NAME?</v>
      </c>
      <c r="I66" s="1455" t="e">
        <f t="shared" ca="1" si="7"/>
        <v>#NAME?</v>
      </c>
      <c r="J66" s="1423" t="e">
        <f t="shared" ca="1" si="6"/>
        <v>#NAME?</v>
      </c>
    </row>
    <row r="67" spans="1:10" ht="16.25" customHeight="1" x14ac:dyDescent="0.2">
      <c r="B67" s="856" t="s">
        <v>268</v>
      </c>
      <c r="C67" s="860" t="s">
        <v>376</v>
      </c>
      <c r="D67" s="863" t="s">
        <v>395</v>
      </c>
      <c r="E67" s="1464" t="e">
        <f ca="1">Inventory!T124</f>
        <v>#NAME?</v>
      </c>
      <c r="F67" s="810" t="e">
        <f ca="1">Inventory!U124</f>
        <v>#NAME?</v>
      </c>
      <c r="G67" s="1449">
        <f>45/100*45/100*4/1000</f>
        <v>8.1000000000000006E-4</v>
      </c>
      <c r="H67" s="1449" t="e">
        <f t="shared" ca="1" si="8"/>
        <v>#NAME?</v>
      </c>
      <c r="I67" s="1455" t="e">
        <f t="shared" ca="1" si="7"/>
        <v>#NAME?</v>
      </c>
      <c r="J67" s="1423" t="e">
        <f t="shared" ca="1" si="6"/>
        <v>#NAME?</v>
      </c>
    </row>
    <row r="68" spans="1:10" ht="32" customHeight="1" x14ac:dyDescent="0.2">
      <c r="B68" s="856" t="s">
        <v>272</v>
      </c>
      <c r="C68" s="860" t="s">
        <v>369</v>
      </c>
      <c r="D68" s="864" t="s">
        <v>384</v>
      </c>
      <c r="E68" s="1464" t="e">
        <f ca="1">Inventory!T125</f>
        <v>#NAME?</v>
      </c>
      <c r="F68" s="810" t="e">
        <f ca="1">Inventory!U125</f>
        <v>#NAME?</v>
      </c>
      <c r="G68" s="1449">
        <f>3/100*3/100*3/1000</f>
        <v>2.7E-6</v>
      </c>
      <c r="H68" s="1449" t="e">
        <f t="shared" ca="1" si="8"/>
        <v>#NAME?</v>
      </c>
      <c r="I68" s="1455" t="e">
        <f t="shared" ca="1" si="7"/>
        <v>#NAME?</v>
      </c>
      <c r="J68" s="1423" t="e">
        <f t="shared" ca="1" si="6"/>
        <v>#NAME?</v>
      </c>
    </row>
    <row r="69" spans="1:10" ht="16.25" customHeight="1" x14ac:dyDescent="0.2">
      <c r="B69" s="856" t="s">
        <v>385</v>
      </c>
      <c r="C69" s="860" t="s">
        <v>369</v>
      </c>
      <c r="D69" s="861" t="s">
        <v>396</v>
      </c>
      <c r="E69" s="1464" t="e">
        <f ca="1">Inventory!T126</f>
        <v>#NAME?</v>
      </c>
      <c r="F69" s="810" t="e">
        <f ca="1">Inventory!U126</f>
        <v>#NAME?</v>
      </c>
      <c r="G69" s="1449">
        <f>30/1000*35/1000*45/1000</f>
        <v>4.725000000000001E-5</v>
      </c>
      <c r="H69" s="1449" t="e">
        <f t="shared" ca="1" si="8"/>
        <v>#NAME?</v>
      </c>
      <c r="I69" s="1455" t="e">
        <f t="shared" ca="1" si="7"/>
        <v>#NAME?</v>
      </c>
      <c r="J69" s="1423" t="e">
        <f t="shared" ca="1" si="6"/>
        <v>#NAME?</v>
      </c>
    </row>
    <row r="70" spans="1:10" ht="16.25" customHeight="1" x14ac:dyDescent="0.2">
      <c r="B70" s="856" t="s">
        <v>279</v>
      </c>
      <c r="C70" s="860" t="s">
        <v>379</v>
      </c>
      <c r="D70" s="864" t="s">
        <v>387</v>
      </c>
      <c r="E70" s="1464" t="e">
        <f ca="1">Inventory!T127</f>
        <v>#NAME?</v>
      </c>
      <c r="F70" s="810" t="e">
        <f ca="1">Inventory!U127</f>
        <v>#NAME?</v>
      </c>
      <c r="G70" s="1449">
        <f>1*1.4732*2/1000</f>
        <v>2.9464000000000001E-3</v>
      </c>
      <c r="H70" s="1449" t="e">
        <f ca="1">E70*G70</f>
        <v>#NAME?</v>
      </c>
      <c r="I70" s="1455" t="e">
        <f t="shared" ca="1" si="7"/>
        <v>#NAME?</v>
      </c>
      <c r="J70" s="1423" t="e">
        <f t="shared" ca="1" si="6"/>
        <v>#NAME?</v>
      </c>
    </row>
    <row r="71" spans="1:10" ht="32" customHeight="1" x14ac:dyDescent="0.2">
      <c r="B71" s="856" t="s">
        <v>282</v>
      </c>
      <c r="C71" s="860" t="s">
        <v>388</v>
      </c>
      <c r="D71" s="863" t="s">
        <v>389</v>
      </c>
      <c r="E71" s="1464" t="e">
        <f ca="1">Inventory!T128</f>
        <v>#NAME?</v>
      </c>
      <c r="F71" s="810" t="e">
        <f ca="1">Inventory!U128</f>
        <v>#NAME?</v>
      </c>
      <c r="G71" s="1449">
        <f>1.5*0.25*0.25</f>
        <v>9.375E-2</v>
      </c>
      <c r="H71" s="1449" t="e">
        <f t="shared" ca="1" si="8"/>
        <v>#NAME?</v>
      </c>
      <c r="I71" s="1455" t="e">
        <f t="shared" ca="1" si="7"/>
        <v>#NAME?</v>
      </c>
      <c r="J71" s="1423" t="e">
        <f t="shared" ca="1" si="6"/>
        <v>#NAME?</v>
      </c>
    </row>
    <row r="72" spans="1:10" ht="16.25" customHeight="1" x14ac:dyDescent="0.2">
      <c r="B72" s="856" t="s">
        <v>286</v>
      </c>
      <c r="C72" s="860" t="s">
        <v>369</v>
      </c>
      <c r="D72" s="859" t="s">
        <v>390</v>
      </c>
      <c r="E72" s="1464" t="e">
        <f ca="1">Inventory!T129</f>
        <v>#NAME?</v>
      </c>
      <c r="F72" s="810" t="e">
        <f ca="1">Inventory!U129</f>
        <v>#NAME?</v>
      </c>
      <c r="G72" s="2888" t="s">
        <v>375</v>
      </c>
      <c r="H72" s="2888"/>
      <c r="I72" s="1455">
        <f t="shared" si="7"/>
        <v>0</v>
      </c>
      <c r="J72" s="1423" t="e">
        <f t="shared" ca="1" si="6"/>
        <v>#NAME?</v>
      </c>
    </row>
    <row r="73" spans="1:10" ht="32" customHeight="1" x14ac:dyDescent="0.2">
      <c r="B73" s="1639" t="s">
        <v>391</v>
      </c>
      <c r="C73" s="865" t="s">
        <v>368</v>
      </c>
      <c r="D73" s="876" t="s">
        <v>392</v>
      </c>
      <c r="E73" s="1465" t="e">
        <f ca="1">Inventory!T130</f>
        <v>#NAME?</v>
      </c>
      <c r="F73" s="867" t="e">
        <f ca="1">Inventory!U130</f>
        <v>#NAME?</v>
      </c>
      <c r="G73" s="1450" t="e">
        <f ca="1">E73/900000</f>
        <v>#NAME?</v>
      </c>
      <c r="H73" s="1450" t="e">
        <f t="shared" ca="1" si="8"/>
        <v>#NAME?</v>
      </c>
      <c r="I73" s="1456" t="e">
        <f t="shared" ca="1" si="7"/>
        <v>#NAME?</v>
      </c>
      <c r="J73" s="1425" t="e">
        <f t="shared" ca="1" si="6"/>
        <v>#NAME?</v>
      </c>
    </row>
    <row r="75" spans="1:10" s="871" customFormat="1" ht="6" customHeight="1" x14ac:dyDescent="0.2">
      <c r="A75" s="870"/>
      <c r="E75" s="872"/>
      <c r="F75" s="872"/>
    </row>
    <row r="77" spans="1:10" x14ac:dyDescent="0.2">
      <c r="B77" s="843" t="s">
        <v>74</v>
      </c>
      <c r="C77" s="746"/>
    </row>
    <row r="78" spans="1:10" x14ac:dyDescent="0.2">
      <c r="B78" s="746"/>
      <c r="C78" s="746"/>
    </row>
    <row r="79" spans="1:10" x14ac:dyDescent="0.2">
      <c r="B79" s="844" t="s">
        <v>360</v>
      </c>
      <c r="C79" s="1443" t="e">
        <f ca="1">SUM(J82:J96)</f>
        <v>#NAME?</v>
      </c>
    </row>
    <row r="81" spans="2:20" ht="48" x14ac:dyDescent="0.2">
      <c r="B81" s="845" t="s">
        <v>228</v>
      </c>
      <c r="C81" s="846" t="s">
        <v>361</v>
      </c>
      <c r="D81" s="847" t="s">
        <v>80</v>
      </c>
      <c r="E81" s="848" t="s">
        <v>362</v>
      </c>
      <c r="F81" s="848" t="s">
        <v>363</v>
      </c>
      <c r="G81" s="847" t="s">
        <v>397</v>
      </c>
      <c r="H81" s="847" t="s">
        <v>365</v>
      </c>
      <c r="I81" s="847" t="s">
        <v>366</v>
      </c>
      <c r="J81" s="849" t="s">
        <v>367</v>
      </c>
      <c r="K81" s="850"/>
      <c r="L81" s="850"/>
      <c r="M81" s="850"/>
      <c r="N81" s="850"/>
      <c r="O81" s="850"/>
      <c r="P81" s="850"/>
      <c r="Q81" s="850"/>
      <c r="R81" s="850"/>
      <c r="S81" s="850"/>
      <c r="T81" s="850"/>
    </row>
    <row r="82" spans="2:20" x14ac:dyDescent="0.2">
      <c r="B82" s="877" t="s">
        <v>238</v>
      </c>
      <c r="C82" s="852" t="s">
        <v>368</v>
      </c>
      <c r="D82" s="878" t="s">
        <v>241</v>
      </c>
      <c r="E82" s="1463" t="e">
        <f ca="1">Inventory!T150</f>
        <v>#NAME?</v>
      </c>
      <c r="F82" s="854" t="e">
        <f ca="1">Inventory!U150</f>
        <v>#NAME?</v>
      </c>
      <c r="G82" s="1447">
        <f>0.6*0.4*0.005</f>
        <v>1.1999999999999999E-3</v>
      </c>
      <c r="H82" s="1447" t="e">
        <f ca="1">E82*G82</f>
        <v>#NAME?</v>
      </c>
      <c r="I82" s="1454" t="e">
        <f ca="1">H82*F$4</f>
        <v>#NAME?</v>
      </c>
      <c r="J82" s="1422" t="e">
        <f ca="1">I82*F82</f>
        <v>#NAME?</v>
      </c>
    </row>
    <row r="83" spans="2:20" x14ac:dyDescent="0.2">
      <c r="B83" s="879" t="s">
        <v>243</v>
      </c>
      <c r="C83" s="860" t="s">
        <v>369</v>
      </c>
      <c r="D83" s="861" t="s">
        <v>398</v>
      </c>
      <c r="E83" s="1464" t="e">
        <f ca="1">Inventory!T151</f>
        <v>#NAME?</v>
      </c>
      <c r="F83" s="810" t="e">
        <f ca="1">Inventory!U151</f>
        <v>#NAME?</v>
      </c>
      <c r="G83" s="1448">
        <f>0.04*0.06*0.002</f>
        <v>4.7999999999999998E-6</v>
      </c>
      <c r="H83" s="1449" t="e">
        <f ca="1">E83*G83</f>
        <v>#NAME?</v>
      </c>
      <c r="I83" s="1455" t="e">
        <f ca="1">H83*F$4</f>
        <v>#NAME?</v>
      </c>
      <c r="J83" s="1423" t="e">
        <f ca="1">I83*F83</f>
        <v>#NAME?</v>
      </c>
    </row>
    <row r="84" spans="2:20" x14ac:dyDescent="0.2">
      <c r="B84" s="856" t="s">
        <v>370</v>
      </c>
      <c r="C84" s="860" t="s">
        <v>371</v>
      </c>
      <c r="D84" s="861" t="s">
        <v>394</v>
      </c>
      <c r="E84" s="1464" t="e">
        <f ca="1">Inventory!T152</f>
        <v>#NAME?</v>
      </c>
      <c r="F84" s="810" t="e">
        <f ca="1">Inventory!U152</f>
        <v>#NAME?</v>
      </c>
      <c r="G84" s="1449">
        <f>(5/100)*(5/100)*(2/100)</f>
        <v>5.0000000000000009E-5</v>
      </c>
      <c r="H84" s="1449" t="e">
        <f ca="1">E84*G84</f>
        <v>#NAME?</v>
      </c>
      <c r="I84" s="1455" t="e">
        <f ca="1">H84*F$4</f>
        <v>#NAME?</v>
      </c>
      <c r="J84" s="1423" t="e">
        <f ca="1">I84*F84</f>
        <v>#NAME?</v>
      </c>
    </row>
    <row r="85" spans="2:20" x14ac:dyDescent="0.2">
      <c r="B85" s="880" t="s">
        <v>251</v>
      </c>
      <c r="C85" s="860" t="s">
        <v>373</v>
      </c>
      <c r="D85" s="861" t="s">
        <v>253</v>
      </c>
      <c r="E85" s="1464" t="e">
        <f ca="1">Inventory!T153</f>
        <v>#NAME?</v>
      </c>
      <c r="F85" s="810" t="e">
        <f ca="1">Inventory!U153</f>
        <v>#NAME?</v>
      </c>
      <c r="G85" s="2886" t="s">
        <v>375</v>
      </c>
      <c r="H85" s="2886"/>
      <c r="I85" s="1455">
        <v>0</v>
      </c>
      <c r="J85" s="1423" t="e">
        <f t="shared" ref="J85:J96" ca="1" si="9">I85*F85</f>
        <v>#NAME?</v>
      </c>
    </row>
    <row r="86" spans="2:20" ht="16.25" customHeight="1" x14ac:dyDescent="0.2">
      <c r="B86" s="881" t="s">
        <v>255</v>
      </c>
      <c r="C86" s="860" t="s">
        <v>376</v>
      </c>
      <c r="D86" s="863" t="s">
        <v>377</v>
      </c>
      <c r="E86" s="1464" t="e">
        <f ca="1">Inventory!T154</f>
        <v>#NAME?</v>
      </c>
      <c r="F86" s="810" t="e">
        <f ca="1">Inventory!U154</f>
        <v>#NAME?</v>
      </c>
      <c r="G86" s="1449">
        <f>165/1000*135/1000*2/1000</f>
        <v>4.4550000000000005E-5</v>
      </c>
      <c r="H86" s="1449" t="e">
        <f ca="1">E86*G86</f>
        <v>#NAME?</v>
      </c>
      <c r="I86" s="1455" t="e">
        <f t="shared" ref="I86:I96" ca="1" si="10">H86*F$4</f>
        <v>#NAME?</v>
      </c>
      <c r="J86" s="1423" t="e">
        <f t="shared" ca="1" si="9"/>
        <v>#NAME?</v>
      </c>
    </row>
    <row r="87" spans="2:20" ht="16.25" customHeight="1" x14ac:dyDescent="0.2">
      <c r="B87" s="880" t="s">
        <v>258</v>
      </c>
      <c r="C87" s="860" t="s">
        <v>369</v>
      </c>
      <c r="D87" s="863" t="s">
        <v>378</v>
      </c>
      <c r="E87" s="1464" t="e">
        <f ca="1">Inventory!T155</f>
        <v>#NAME?</v>
      </c>
      <c r="F87" s="810" t="e">
        <f ca="1">Inventory!U155</f>
        <v>#NAME?</v>
      </c>
      <c r="G87" s="1449">
        <f>160/1000*82/1000*13/1000</f>
        <v>1.7056000000000002E-4</v>
      </c>
      <c r="H87" s="1449" t="e">
        <f t="shared" ref="H87:H96" ca="1" si="11">E87*G87</f>
        <v>#NAME?</v>
      </c>
      <c r="I87" s="1455" t="e">
        <f t="shared" ca="1" si="10"/>
        <v>#NAME?</v>
      </c>
      <c r="J87" s="1423" t="e">
        <f t="shared" ca="1" si="9"/>
        <v>#NAME?</v>
      </c>
    </row>
    <row r="88" spans="2:20" ht="16.25" customHeight="1" x14ac:dyDescent="0.2">
      <c r="B88" s="881" t="s">
        <v>262</v>
      </c>
      <c r="C88" s="860" t="s">
        <v>379</v>
      </c>
      <c r="D88" s="861" t="s">
        <v>380</v>
      </c>
      <c r="E88" s="1464" t="e">
        <f ca="1">Inventory!T156</f>
        <v>#NAME?</v>
      </c>
      <c r="F88" s="810" t="e">
        <f ca="1">Inventory!U156</f>
        <v>#NAME?</v>
      </c>
      <c r="G88" s="1449">
        <f>3.8*1.3716*3.8/1000</f>
        <v>1.9805903999999999E-2</v>
      </c>
      <c r="H88" s="1449" t="e">
        <f t="shared" ca="1" si="11"/>
        <v>#NAME?</v>
      </c>
      <c r="I88" s="1455" t="e">
        <f t="shared" ca="1" si="10"/>
        <v>#NAME?</v>
      </c>
      <c r="J88" s="1423" t="e">
        <f t="shared" ca="1" si="9"/>
        <v>#NAME?</v>
      </c>
    </row>
    <row r="89" spans="2:20" ht="16.25" customHeight="1" x14ac:dyDescent="0.2">
      <c r="B89" s="881" t="s">
        <v>344</v>
      </c>
      <c r="C89" s="860" t="s">
        <v>381</v>
      </c>
      <c r="D89" s="863" t="s">
        <v>267</v>
      </c>
      <c r="E89" s="1464" t="e">
        <f ca="1">Inventory!T157</f>
        <v>#NAME?</v>
      </c>
      <c r="F89" s="810" t="e">
        <f ca="1">Inventory!U157</f>
        <v>#NAME?</v>
      </c>
      <c r="G89" s="1449">
        <f>1*2*3/1000</f>
        <v>6.0000000000000001E-3</v>
      </c>
      <c r="H89" s="1449" t="e">
        <f t="shared" ca="1" si="11"/>
        <v>#NAME?</v>
      </c>
      <c r="I89" s="1455" t="e">
        <f t="shared" ca="1" si="10"/>
        <v>#NAME?</v>
      </c>
      <c r="J89" s="1423" t="e">
        <f t="shared" ca="1" si="9"/>
        <v>#NAME?</v>
      </c>
    </row>
    <row r="90" spans="2:20" ht="16.25" customHeight="1" x14ac:dyDescent="0.2">
      <c r="B90" s="880" t="s">
        <v>268</v>
      </c>
      <c r="C90" s="860" t="s">
        <v>376</v>
      </c>
      <c r="D90" s="863" t="s">
        <v>270</v>
      </c>
      <c r="E90" s="1464" t="e">
        <f ca="1">Inventory!T158</f>
        <v>#NAME?</v>
      </c>
      <c r="F90" s="810" t="e">
        <f ca="1">Inventory!U158</f>
        <v>#NAME?</v>
      </c>
      <c r="G90" s="1449">
        <f>45/100*45/100*4/1000</f>
        <v>8.1000000000000006E-4</v>
      </c>
      <c r="H90" s="1449" t="e">
        <f t="shared" ca="1" si="11"/>
        <v>#NAME?</v>
      </c>
      <c r="I90" s="1455" t="e">
        <f t="shared" ca="1" si="10"/>
        <v>#NAME?</v>
      </c>
      <c r="J90" s="1423" t="e">
        <f t="shared" ca="1" si="9"/>
        <v>#NAME?</v>
      </c>
    </row>
    <row r="91" spans="2:20" ht="32" customHeight="1" x14ac:dyDescent="0.2">
      <c r="B91" s="880" t="s">
        <v>272</v>
      </c>
      <c r="C91" s="860" t="s">
        <v>369</v>
      </c>
      <c r="D91" s="864" t="s">
        <v>384</v>
      </c>
      <c r="E91" s="1464" t="e">
        <f ca="1">Inventory!T159</f>
        <v>#NAME?</v>
      </c>
      <c r="F91" s="810" t="e">
        <f ca="1">Inventory!U159</f>
        <v>#NAME?</v>
      </c>
      <c r="G91" s="1449">
        <f>3/100*3/100*3/1000</f>
        <v>2.7E-6</v>
      </c>
      <c r="H91" s="1449" t="e">
        <f t="shared" ca="1" si="11"/>
        <v>#NAME?</v>
      </c>
      <c r="I91" s="1455" t="e">
        <f t="shared" ca="1" si="10"/>
        <v>#NAME?</v>
      </c>
      <c r="J91" s="1423" t="e">
        <f t="shared" ca="1" si="9"/>
        <v>#NAME?</v>
      </c>
    </row>
    <row r="92" spans="2:20" ht="16.25" customHeight="1" x14ac:dyDescent="0.2">
      <c r="B92" s="880" t="s">
        <v>385</v>
      </c>
      <c r="C92" s="860" t="s">
        <v>369</v>
      </c>
      <c r="D92" s="861" t="s">
        <v>386</v>
      </c>
      <c r="E92" s="1464" t="e">
        <f ca="1">Inventory!T160</f>
        <v>#NAME?</v>
      </c>
      <c r="F92" s="810" t="e">
        <f ca="1">Inventory!U160</f>
        <v>#NAME?</v>
      </c>
      <c r="G92" s="1449">
        <f>30/1000*35/1000*45/1000</f>
        <v>4.725000000000001E-5</v>
      </c>
      <c r="H92" s="1449" t="e">
        <f t="shared" ca="1" si="11"/>
        <v>#NAME?</v>
      </c>
      <c r="I92" s="1455" t="e">
        <f t="shared" ca="1" si="10"/>
        <v>#NAME?</v>
      </c>
      <c r="J92" s="1423" t="e">
        <f t="shared" ca="1" si="9"/>
        <v>#NAME?</v>
      </c>
    </row>
    <row r="93" spans="2:20" ht="16.25" customHeight="1" x14ac:dyDescent="0.2">
      <c r="B93" s="880" t="s">
        <v>279</v>
      </c>
      <c r="C93" s="860" t="s">
        <v>379</v>
      </c>
      <c r="D93" s="864" t="s">
        <v>387</v>
      </c>
      <c r="E93" s="1464" t="e">
        <f ca="1">Inventory!T161</f>
        <v>#NAME?</v>
      </c>
      <c r="F93" s="810" t="e">
        <f ca="1">Inventory!U161</f>
        <v>#NAME?</v>
      </c>
      <c r="G93" s="1449">
        <f>1*1.4732*2/1000</f>
        <v>2.9464000000000001E-3</v>
      </c>
      <c r="H93" s="1449" t="e">
        <f ca="1">E93*G93</f>
        <v>#NAME?</v>
      </c>
      <c r="I93" s="1455" t="e">
        <f t="shared" ca="1" si="10"/>
        <v>#NAME?</v>
      </c>
      <c r="J93" s="1423" t="e">
        <f t="shared" ca="1" si="9"/>
        <v>#NAME?</v>
      </c>
    </row>
    <row r="94" spans="2:20" ht="32" customHeight="1" x14ac:dyDescent="0.2">
      <c r="B94" s="880" t="s">
        <v>282</v>
      </c>
      <c r="C94" s="860" t="s">
        <v>388</v>
      </c>
      <c r="D94" s="863" t="s">
        <v>389</v>
      </c>
      <c r="E94" s="1464" t="e">
        <f ca="1">Inventory!T162</f>
        <v>#NAME?</v>
      </c>
      <c r="F94" s="810" t="e">
        <f ca="1">Inventory!U162</f>
        <v>#NAME?</v>
      </c>
      <c r="G94" s="1449">
        <f>1.5*0.25*0.25</f>
        <v>9.375E-2</v>
      </c>
      <c r="H94" s="1449" t="e">
        <f t="shared" ca="1" si="11"/>
        <v>#NAME?</v>
      </c>
      <c r="I94" s="1455" t="e">
        <f t="shared" ca="1" si="10"/>
        <v>#NAME?</v>
      </c>
      <c r="J94" s="1423" t="e">
        <f t="shared" ca="1" si="9"/>
        <v>#NAME?</v>
      </c>
    </row>
    <row r="95" spans="2:20" ht="16.25" customHeight="1" x14ac:dyDescent="0.2">
      <c r="B95" s="880" t="s">
        <v>286</v>
      </c>
      <c r="C95" s="860" t="s">
        <v>369</v>
      </c>
      <c r="D95" s="864" t="s">
        <v>390</v>
      </c>
      <c r="E95" s="1464" t="e">
        <f ca="1">Inventory!T163</f>
        <v>#NAME?</v>
      </c>
      <c r="F95" s="810" t="e">
        <f ca="1">Inventory!U163</f>
        <v>#NAME?</v>
      </c>
      <c r="G95" s="2889" t="s">
        <v>375</v>
      </c>
      <c r="H95" s="2889"/>
      <c r="I95" s="1455">
        <f t="shared" si="10"/>
        <v>0</v>
      </c>
      <c r="J95" s="1423" t="e">
        <f t="shared" ca="1" si="9"/>
        <v>#NAME?</v>
      </c>
    </row>
    <row r="96" spans="2:20" ht="32" customHeight="1" x14ac:dyDescent="0.2">
      <c r="B96" s="1643" t="s">
        <v>391</v>
      </c>
      <c r="C96" s="865" t="s">
        <v>368</v>
      </c>
      <c r="D96" s="866" t="s">
        <v>392</v>
      </c>
      <c r="E96" s="1465" t="e">
        <f ca="1">Inventory!T164</f>
        <v>#NAME?</v>
      </c>
      <c r="F96" s="867" t="e">
        <f ca="1">Inventory!U164</f>
        <v>#NAME?</v>
      </c>
      <c r="G96" s="1450" t="e">
        <f ca="1">E96/900000</f>
        <v>#NAME?</v>
      </c>
      <c r="H96" s="1450" t="e">
        <f t="shared" ca="1" si="11"/>
        <v>#NAME?</v>
      </c>
      <c r="I96" s="1456" t="e">
        <f t="shared" ca="1" si="10"/>
        <v>#NAME?</v>
      </c>
      <c r="J96" s="1425" t="e">
        <f t="shared" ca="1" si="9"/>
        <v>#NAME?</v>
      </c>
    </row>
    <row r="97" spans="1:20" x14ac:dyDescent="0.2">
      <c r="B97" s="746"/>
    </row>
    <row r="98" spans="1:20" s="871" customFormat="1" ht="5.25" customHeight="1" x14ac:dyDescent="0.2">
      <c r="A98" s="870"/>
      <c r="B98" s="882"/>
      <c r="E98" s="872"/>
      <c r="F98" s="872"/>
    </row>
    <row r="99" spans="1:20" x14ac:dyDescent="0.2">
      <c r="B99" s="746"/>
    </row>
    <row r="100" spans="1:20" x14ac:dyDescent="0.2">
      <c r="B100" s="843" t="s">
        <v>75</v>
      </c>
    </row>
    <row r="101" spans="1:20" x14ac:dyDescent="0.2">
      <c r="B101" s="746"/>
    </row>
    <row r="102" spans="1:20" x14ac:dyDescent="0.2">
      <c r="B102" s="844" t="s">
        <v>360</v>
      </c>
      <c r="C102" s="1443" t="e">
        <f ca="1">SUM(J105:J119)</f>
        <v>#NAME?</v>
      </c>
      <c r="D102" s="746"/>
      <c r="E102" s="883"/>
      <c r="F102" s="883"/>
      <c r="G102" s="746"/>
      <c r="H102" s="746"/>
      <c r="I102" s="746"/>
      <c r="J102" s="746"/>
    </row>
    <row r="103" spans="1:20" x14ac:dyDescent="0.2">
      <c r="B103" s="746"/>
      <c r="C103" s="746"/>
      <c r="D103" s="746"/>
      <c r="E103" s="883"/>
      <c r="F103" s="883"/>
      <c r="G103" s="746"/>
      <c r="H103" s="746"/>
      <c r="I103" s="746"/>
      <c r="J103" s="746"/>
    </row>
    <row r="104" spans="1:20" ht="48" x14ac:dyDescent="0.2">
      <c r="B104" s="845" t="s">
        <v>228</v>
      </c>
      <c r="C104" s="846" t="s">
        <v>361</v>
      </c>
      <c r="D104" s="847" t="s">
        <v>80</v>
      </c>
      <c r="E104" s="848" t="s">
        <v>362</v>
      </c>
      <c r="F104" s="848" t="s">
        <v>363</v>
      </c>
      <c r="G104" s="847" t="s">
        <v>397</v>
      </c>
      <c r="H104" s="847" t="s">
        <v>365</v>
      </c>
      <c r="I104" s="847" t="s">
        <v>366</v>
      </c>
      <c r="J104" s="849" t="s">
        <v>367</v>
      </c>
      <c r="K104" s="850"/>
      <c r="L104" s="850"/>
      <c r="M104" s="850"/>
      <c r="N104" s="850"/>
      <c r="O104" s="850"/>
      <c r="P104" s="850"/>
      <c r="Q104" s="850"/>
      <c r="R104" s="850"/>
      <c r="S104" s="850"/>
      <c r="T104" s="850"/>
    </row>
    <row r="105" spans="1:20" x14ac:dyDescent="0.2">
      <c r="B105" s="884" t="s">
        <v>238</v>
      </c>
      <c r="C105" s="852" t="s">
        <v>368</v>
      </c>
      <c r="D105" s="878" t="s">
        <v>399</v>
      </c>
      <c r="E105" s="1444" t="e">
        <f ca="1">Inventory!T184</f>
        <v>#NAME?</v>
      </c>
      <c r="F105" s="854" t="e">
        <f ca="1">Inventory!U184</f>
        <v>#NAME?</v>
      </c>
      <c r="G105" s="1447">
        <f>0.6*0.4*0.005</f>
        <v>1.1999999999999999E-3</v>
      </c>
      <c r="H105" s="1447" t="e">
        <f ca="1">E105*G105</f>
        <v>#NAME?</v>
      </c>
      <c r="I105" s="1466" t="e">
        <f ca="1">H105*F$4</f>
        <v>#NAME?</v>
      </c>
      <c r="J105" s="1419" t="e">
        <f ca="1">I105*F105</f>
        <v>#NAME?</v>
      </c>
    </row>
    <row r="106" spans="1:20" ht="32" x14ac:dyDescent="0.2">
      <c r="B106" s="885" t="s">
        <v>243</v>
      </c>
      <c r="C106" s="857" t="s">
        <v>369</v>
      </c>
      <c r="D106" s="859" t="s">
        <v>245</v>
      </c>
      <c r="E106" s="1445" t="e">
        <f ca="1">Inventory!T185</f>
        <v>#NAME?</v>
      </c>
      <c r="F106" s="810" t="e">
        <f ca="1">Inventory!U185</f>
        <v>#NAME?</v>
      </c>
      <c r="G106" s="1448">
        <f>0.04*0.06*0.002</f>
        <v>4.7999999999999998E-6</v>
      </c>
      <c r="H106" s="1449" t="e">
        <f ca="1">E106*G106</f>
        <v>#NAME?</v>
      </c>
      <c r="I106" s="1467" t="e">
        <f ca="1">H106*F$4</f>
        <v>#NAME?</v>
      </c>
      <c r="J106" s="1420" t="e">
        <f ca="1">I106*F106</f>
        <v>#NAME?</v>
      </c>
    </row>
    <row r="107" spans="1:20" ht="16.25" customHeight="1" x14ac:dyDescent="0.2">
      <c r="B107" s="856" t="s">
        <v>370</v>
      </c>
      <c r="C107" s="860" t="s">
        <v>371</v>
      </c>
      <c r="D107" s="861" t="s">
        <v>394</v>
      </c>
      <c r="E107" s="1445" t="e">
        <f ca="1">Inventory!T186</f>
        <v>#NAME?</v>
      </c>
      <c r="F107" s="810" t="e">
        <f ca="1">Inventory!U186</f>
        <v>#NAME?</v>
      </c>
      <c r="G107" s="1449">
        <f>(5/100)*(5/100)*(2/100)</f>
        <v>5.0000000000000009E-5</v>
      </c>
      <c r="H107" s="1449" t="e">
        <f ca="1">E107*G107</f>
        <v>#NAME?</v>
      </c>
      <c r="I107" s="1467" t="e">
        <f ca="1">H107*F$4</f>
        <v>#NAME?</v>
      </c>
      <c r="J107" s="1420" t="e">
        <f ca="1">I107*F107</f>
        <v>#NAME?</v>
      </c>
    </row>
    <row r="108" spans="1:20" ht="16.25" customHeight="1" x14ac:dyDescent="0.2">
      <c r="B108" s="856" t="s">
        <v>251</v>
      </c>
      <c r="C108" s="860" t="s">
        <v>373</v>
      </c>
      <c r="D108" s="861" t="s">
        <v>253</v>
      </c>
      <c r="E108" s="1445" t="e">
        <f ca="1">Inventory!T187</f>
        <v>#NAME?</v>
      </c>
      <c r="F108" s="810" t="e">
        <f ca="1">Inventory!U187</f>
        <v>#NAME?</v>
      </c>
      <c r="G108" s="2886" t="s">
        <v>375</v>
      </c>
      <c r="H108" s="2886"/>
      <c r="I108" s="1467">
        <v>0</v>
      </c>
      <c r="J108" s="1420" t="e">
        <f t="shared" ref="J108:J119" ca="1" si="12">I108*F108</f>
        <v>#NAME?</v>
      </c>
    </row>
    <row r="109" spans="1:20" ht="16.25" customHeight="1" x14ac:dyDescent="0.2">
      <c r="B109" s="862" t="s">
        <v>255</v>
      </c>
      <c r="C109" s="860" t="s">
        <v>376</v>
      </c>
      <c r="D109" s="863" t="s">
        <v>377</v>
      </c>
      <c r="E109" s="1445" t="e">
        <f ca="1">Inventory!T188</f>
        <v>#NAME?</v>
      </c>
      <c r="F109" s="810" t="e">
        <f ca="1">Inventory!U188</f>
        <v>#NAME?</v>
      </c>
      <c r="G109" s="1449">
        <f>165/1000*135/1000*2/1000</f>
        <v>4.4550000000000005E-5</v>
      </c>
      <c r="H109" s="1449" t="e">
        <f ca="1">E109*G109</f>
        <v>#NAME?</v>
      </c>
      <c r="I109" s="1467" t="e">
        <f t="shared" ref="I109:I119" ca="1" si="13">H109*F$4</f>
        <v>#NAME?</v>
      </c>
      <c r="J109" s="1420" t="e">
        <f t="shared" ca="1" si="12"/>
        <v>#NAME?</v>
      </c>
    </row>
    <row r="110" spans="1:20" ht="16.25" customHeight="1" x14ac:dyDescent="0.2">
      <c r="B110" s="856" t="s">
        <v>258</v>
      </c>
      <c r="C110" s="860" t="s">
        <v>369</v>
      </c>
      <c r="D110" s="863" t="s">
        <v>378</v>
      </c>
      <c r="E110" s="1445" t="e">
        <f ca="1">Inventory!T189</f>
        <v>#NAME?</v>
      </c>
      <c r="F110" s="810" t="e">
        <f ca="1">Inventory!U189</f>
        <v>#NAME?</v>
      </c>
      <c r="G110" s="1449">
        <f>160/1000*82/1000*13/1000</f>
        <v>1.7056000000000002E-4</v>
      </c>
      <c r="H110" s="1449" t="e">
        <f t="shared" ref="H110:H119" ca="1" si="14">E110*G110</f>
        <v>#NAME?</v>
      </c>
      <c r="I110" s="1467" t="e">
        <f t="shared" ca="1" si="13"/>
        <v>#NAME?</v>
      </c>
      <c r="J110" s="1420" t="e">
        <f t="shared" ca="1" si="12"/>
        <v>#NAME?</v>
      </c>
    </row>
    <row r="111" spans="1:20" ht="16.25" customHeight="1" x14ac:dyDescent="0.2">
      <c r="B111" s="862" t="s">
        <v>262</v>
      </c>
      <c r="C111" s="860" t="s">
        <v>379</v>
      </c>
      <c r="D111" s="861" t="s">
        <v>380</v>
      </c>
      <c r="E111" s="1445" t="e">
        <f ca="1">Inventory!T190</f>
        <v>#NAME?</v>
      </c>
      <c r="F111" s="810" t="e">
        <f ca="1">Inventory!U190</f>
        <v>#NAME?</v>
      </c>
      <c r="G111" s="1449">
        <f>3.8*1.3716*3.8/1000</f>
        <v>1.9805903999999999E-2</v>
      </c>
      <c r="H111" s="1449" t="e">
        <f t="shared" ca="1" si="14"/>
        <v>#NAME?</v>
      </c>
      <c r="I111" s="1467" t="e">
        <f t="shared" ca="1" si="13"/>
        <v>#NAME?</v>
      </c>
      <c r="J111" s="1420" t="e">
        <f t="shared" ca="1" si="12"/>
        <v>#NAME?</v>
      </c>
    </row>
    <row r="112" spans="1:20" ht="16.25" customHeight="1" x14ac:dyDescent="0.2">
      <c r="B112" s="862" t="s">
        <v>344</v>
      </c>
      <c r="C112" s="860" t="s">
        <v>381</v>
      </c>
      <c r="D112" s="863" t="s">
        <v>267</v>
      </c>
      <c r="E112" s="1445" t="e">
        <f ca="1">Inventory!T191</f>
        <v>#NAME?</v>
      </c>
      <c r="F112" s="810" t="e">
        <f ca="1">Inventory!U191</f>
        <v>#NAME?</v>
      </c>
      <c r="G112" s="1449">
        <f>1*2*3/1000</f>
        <v>6.0000000000000001E-3</v>
      </c>
      <c r="H112" s="1449" t="e">
        <f t="shared" ca="1" si="14"/>
        <v>#NAME?</v>
      </c>
      <c r="I112" s="1467" t="e">
        <f t="shared" ca="1" si="13"/>
        <v>#NAME?</v>
      </c>
      <c r="J112" s="1420" t="e">
        <f t="shared" ca="1" si="12"/>
        <v>#NAME?</v>
      </c>
    </row>
    <row r="113" spans="2:10" ht="16.25" customHeight="1" x14ac:dyDescent="0.2">
      <c r="B113" s="856" t="s">
        <v>268</v>
      </c>
      <c r="C113" s="860" t="s">
        <v>376</v>
      </c>
      <c r="D113" s="863" t="s">
        <v>270</v>
      </c>
      <c r="E113" s="1445" t="e">
        <f ca="1">Inventory!T192</f>
        <v>#NAME?</v>
      </c>
      <c r="F113" s="810" t="e">
        <f ca="1">Inventory!U192</f>
        <v>#NAME?</v>
      </c>
      <c r="G113" s="1449">
        <f>45/100*45/100*4/1000</f>
        <v>8.1000000000000006E-4</v>
      </c>
      <c r="H113" s="1449" t="e">
        <f t="shared" ca="1" si="14"/>
        <v>#NAME?</v>
      </c>
      <c r="I113" s="1467" t="e">
        <f t="shared" ca="1" si="13"/>
        <v>#NAME?</v>
      </c>
      <c r="J113" s="1420" t="e">
        <f t="shared" ca="1" si="12"/>
        <v>#NAME?</v>
      </c>
    </row>
    <row r="114" spans="2:10" ht="32" customHeight="1" x14ac:dyDescent="0.2">
      <c r="B114" s="856" t="s">
        <v>272</v>
      </c>
      <c r="C114" s="860" t="s">
        <v>369</v>
      </c>
      <c r="D114" s="864" t="s">
        <v>274</v>
      </c>
      <c r="E114" s="1445" t="e">
        <f ca="1">Inventory!T193</f>
        <v>#NAME?</v>
      </c>
      <c r="F114" s="810" t="e">
        <f ca="1">Inventory!U193</f>
        <v>#NAME?</v>
      </c>
      <c r="G114" s="1449">
        <f>3/100*3/100*3/1000</f>
        <v>2.7E-6</v>
      </c>
      <c r="H114" s="1449" t="e">
        <f t="shared" ca="1" si="14"/>
        <v>#NAME?</v>
      </c>
      <c r="I114" s="1467" t="e">
        <f t="shared" ca="1" si="13"/>
        <v>#NAME?</v>
      </c>
      <c r="J114" s="1420" t="e">
        <f t="shared" ca="1" si="12"/>
        <v>#NAME?</v>
      </c>
    </row>
    <row r="115" spans="2:10" ht="16.25" customHeight="1" x14ac:dyDescent="0.2">
      <c r="B115" s="856" t="s">
        <v>385</v>
      </c>
      <c r="C115" s="860" t="s">
        <v>369</v>
      </c>
      <c r="D115" s="861" t="s">
        <v>396</v>
      </c>
      <c r="E115" s="1445" t="e">
        <f ca="1">Inventory!T194</f>
        <v>#NAME?</v>
      </c>
      <c r="F115" s="810" t="e">
        <f ca="1">Inventory!U194</f>
        <v>#NAME?</v>
      </c>
      <c r="G115" s="1449">
        <f>30/1000*35/1000*45/1000</f>
        <v>4.725000000000001E-5</v>
      </c>
      <c r="H115" s="1449" t="e">
        <f t="shared" ca="1" si="14"/>
        <v>#NAME?</v>
      </c>
      <c r="I115" s="1467" t="e">
        <f t="shared" ca="1" si="13"/>
        <v>#NAME?</v>
      </c>
      <c r="J115" s="1420" t="e">
        <f t="shared" ca="1" si="12"/>
        <v>#NAME?</v>
      </c>
    </row>
    <row r="116" spans="2:10" ht="16.25" customHeight="1" x14ac:dyDescent="0.2">
      <c r="B116" s="856" t="s">
        <v>279</v>
      </c>
      <c r="C116" s="860" t="s">
        <v>379</v>
      </c>
      <c r="D116" s="864" t="s">
        <v>387</v>
      </c>
      <c r="E116" s="1445" t="e">
        <f ca="1">Inventory!T195</f>
        <v>#NAME?</v>
      </c>
      <c r="F116" s="810" t="e">
        <f ca="1">Inventory!U195</f>
        <v>#NAME?</v>
      </c>
      <c r="G116" s="1449">
        <f>1*1.4732*2/1000</f>
        <v>2.9464000000000001E-3</v>
      </c>
      <c r="H116" s="1449" t="e">
        <f ca="1">E116*G116</f>
        <v>#NAME?</v>
      </c>
      <c r="I116" s="1467" t="e">
        <f t="shared" ca="1" si="13"/>
        <v>#NAME?</v>
      </c>
      <c r="J116" s="1420" t="e">
        <f t="shared" ca="1" si="12"/>
        <v>#NAME?</v>
      </c>
    </row>
    <row r="117" spans="2:10" ht="32" customHeight="1" x14ac:dyDescent="0.2">
      <c r="B117" s="856" t="s">
        <v>282</v>
      </c>
      <c r="C117" s="860" t="s">
        <v>388</v>
      </c>
      <c r="D117" s="863" t="s">
        <v>389</v>
      </c>
      <c r="E117" s="1445" t="e">
        <f ca="1">Inventory!T196</f>
        <v>#NAME?</v>
      </c>
      <c r="F117" s="810" t="e">
        <f ca="1">Inventory!U196</f>
        <v>#NAME?</v>
      </c>
      <c r="G117" s="1449">
        <f>1.5*0.25*0.25</f>
        <v>9.375E-2</v>
      </c>
      <c r="H117" s="1449" t="e">
        <f t="shared" ca="1" si="14"/>
        <v>#NAME?</v>
      </c>
      <c r="I117" s="1467" t="e">
        <f t="shared" ca="1" si="13"/>
        <v>#NAME?</v>
      </c>
      <c r="J117" s="1420" t="e">
        <f t="shared" ca="1" si="12"/>
        <v>#NAME?</v>
      </c>
    </row>
    <row r="118" spans="2:10" ht="16.25" customHeight="1" x14ac:dyDescent="0.2">
      <c r="B118" s="856" t="s">
        <v>286</v>
      </c>
      <c r="C118" s="860" t="s">
        <v>369</v>
      </c>
      <c r="D118" s="859" t="s">
        <v>390</v>
      </c>
      <c r="E118" s="1445" t="e">
        <f ca="1">Inventory!T197</f>
        <v>#NAME?</v>
      </c>
      <c r="F118" s="810" t="e">
        <f ca="1">Inventory!U197</f>
        <v>#NAME?</v>
      </c>
      <c r="G118" s="2889" t="s">
        <v>375</v>
      </c>
      <c r="H118" s="2889"/>
      <c r="I118" s="1467">
        <f t="shared" si="13"/>
        <v>0</v>
      </c>
      <c r="J118" s="1420" t="e">
        <f t="shared" ca="1" si="12"/>
        <v>#NAME?</v>
      </c>
    </row>
    <row r="119" spans="2:10" ht="32" customHeight="1" x14ac:dyDescent="0.2">
      <c r="B119" s="1639" t="s">
        <v>391</v>
      </c>
      <c r="C119" s="865" t="s">
        <v>368</v>
      </c>
      <c r="D119" s="876" t="s">
        <v>392</v>
      </c>
      <c r="E119" s="1446" t="e">
        <f ca="1">Inventory!T198</f>
        <v>#NAME?</v>
      </c>
      <c r="F119" s="867" t="e">
        <f ca="1">Inventory!U198</f>
        <v>#NAME?</v>
      </c>
      <c r="G119" s="1450" t="e">
        <f ca="1">E119/900000</f>
        <v>#NAME?</v>
      </c>
      <c r="H119" s="1450" t="e">
        <f t="shared" ca="1" si="14"/>
        <v>#NAME?</v>
      </c>
      <c r="I119" s="1468" t="e">
        <f t="shared" ca="1" si="13"/>
        <v>#NAME?</v>
      </c>
      <c r="J119" s="1469" t="e">
        <f t="shared" ca="1" si="12"/>
        <v>#NAME?</v>
      </c>
    </row>
    <row r="120" spans="2:10" x14ac:dyDescent="0.2">
      <c r="B120" s="746"/>
    </row>
    <row r="121" spans="2:10" x14ac:dyDescent="0.2">
      <c r="B121" s="746"/>
    </row>
    <row r="122" spans="2:10" x14ac:dyDescent="0.2">
      <c r="B122" s="746"/>
    </row>
    <row r="123" spans="2:10" x14ac:dyDescent="0.2">
      <c r="B123" s="746"/>
    </row>
    <row r="124" spans="2:10" x14ac:dyDescent="0.2">
      <c r="B124" s="746"/>
    </row>
    <row r="125" spans="2:10" x14ac:dyDescent="0.2">
      <c r="B125" s="746"/>
    </row>
    <row r="126" spans="2:10" x14ac:dyDescent="0.2">
      <c r="B126" s="746"/>
    </row>
    <row r="127" spans="2:10" x14ac:dyDescent="0.2">
      <c r="B127" s="746"/>
    </row>
    <row r="128" spans="2:10" x14ac:dyDescent="0.2">
      <c r="B128" s="746"/>
    </row>
    <row r="129" spans="2:2" x14ac:dyDescent="0.2">
      <c r="B129" s="746"/>
    </row>
    <row r="130" spans="2:2" x14ac:dyDescent="0.2">
      <c r="B130" s="746"/>
    </row>
    <row r="131" spans="2:2" x14ac:dyDescent="0.2">
      <c r="B131" s="746"/>
    </row>
    <row r="132" spans="2:2" x14ac:dyDescent="0.2">
      <c r="B132" s="746"/>
    </row>
    <row r="133" spans="2:2" x14ac:dyDescent="0.2">
      <c r="B133" s="746"/>
    </row>
  </sheetData>
  <mergeCells count="12">
    <mergeCell ref="G118:H118"/>
    <mergeCell ref="G62:H62"/>
    <mergeCell ref="G72:H72"/>
    <mergeCell ref="G85:H85"/>
    <mergeCell ref="G95:H95"/>
    <mergeCell ref="B2:C2"/>
    <mergeCell ref="E2:F2"/>
    <mergeCell ref="G16:H16"/>
    <mergeCell ref="G26:H26"/>
    <mergeCell ref="G108:H108"/>
    <mergeCell ref="G39:H39"/>
    <mergeCell ref="G49:H49"/>
  </mergeCells>
  <phoneticPr fontId="59" type="noConversion"/>
  <hyperlinks>
    <hyperlink ref="A1" location="Index!A1" display="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G219"/>
  <sheetViews>
    <sheetView showGridLines="0" topLeftCell="A89" workbookViewId="0">
      <selection activeCell="E95" sqref="E95"/>
    </sheetView>
  </sheetViews>
  <sheetFormatPr baseColWidth="10" defaultColWidth="11" defaultRowHeight="16" x14ac:dyDescent="0.2"/>
  <cols>
    <col min="1" max="1" width="9.6640625" style="745" customWidth="1"/>
    <col min="2" max="2" width="34.6640625" style="745" customWidth="1"/>
    <col min="3" max="3" width="15.6640625" style="745" customWidth="1"/>
    <col min="4" max="4" width="14.33203125" style="745" customWidth="1"/>
    <col min="5" max="5" width="15.33203125" style="745" bestFit="1" customWidth="1"/>
    <col min="6" max="6" width="15.33203125" style="745" customWidth="1"/>
    <col min="7" max="7" width="19" style="745" bestFit="1" customWidth="1"/>
    <col min="8" max="8" width="13.1640625" style="745" customWidth="1"/>
    <col min="9" max="9" width="16.33203125" style="745" customWidth="1"/>
    <col min="10" max="10" width="14.33203125" style="745" customWidth="1"/>
    <col min="11" max="15" width="12.6640625" style="745" customWidth="1"/>
    <col min="16" max="16" width="13.1640625" style="745" customWidth="1"/>
    <col min="17" max="16384" width="11" style="745"/>
  </cols>
  <sheetData>
    <row r="1" spans="1:18" x14ac:dyDescent="0.2">
      <c r="A1" s="1664" t="s">
        <v>38</v>
      </c>
      <c r="D1" s="1665"/>
      <c r="J1" s="968"/>
    </row>
    <row r="2" spans="1:18" x14ac:dyDescent="0.2">
      <c r="B2" s="2893" t="s">
        <v>400</v>
      </c>
      <c r="C2" s="2894"/>
      <c r="D2" s="2894"/>
      <c r="E2" s="2894"/>
      <c r="F2" s="2894"/>
      <c r="G2" s="2895"/>
      <c r="H2" s="1666"/>
      <c r="I2" s="1666"/>
      <c r="J2" s="1666"/>
      <c r="M2" s="1665"/>
    </row>
    <row r="3" spans="1:18" ht="33" customHeight="1" x14ac:dyDescent="0.2">
      <c r="B3" s="1667" t="s">
        <v>401</v>
      </c>
      <c r="C3" s="1668" t="s">
        <v>402</v>
      </c>
      <c r="D3" s="1668" t="s">
        <v>403</v>
      </c>
      <c r="E3" s="1668" t="s">
        <v>404</v>
      </c>
      <c r="F3" s="1668" t="s">
        <v>405</v>
      </c>
      <c r="G3" s="1669" t="s">
        <v>406</v>
      </c>
      <c r="H3" s="776"/>
      <c r="I3" s="1670"/>
      <c r="J3" s="1670"/>
      <c r="K3" s="1670"/>
      <c r="L3" s="968"/>
      <c r="Q3" s="1494"/>
      <c r="R3" s="1494"/>
    </row>
    <row r="4" spans="1:18" x14ac:dyDescent="0.2">
      <c r="B4" s="1671" t="s">
        <v>407</v>
      </c>
      <c r="C4" s="1672" t="s">
        <v>408</v>
      </c>
      <c r="D4" s="1673">
        <f>C194</f>
        <v>1</v>
      </c>
      <c r="E4" s="1674">
        <f>C169</f>
        <v>140000</v>
      </c>
      <c r="F4" s="1674">
        <f>IF(C4="Contract",0,E4*$C$217)</f>
        <v>42000</v>
      </c>
      <c r="G4" s="1675">
        <f>D4*(E4+F4)*$C$215</f>
        <v>45500</v>
      </c>
      <c r="H4" s="1676"/>
    </row>
    <row r="5" spans="1:18" x14ac:dyDescent="0.2">
      <c r="B5" s="1671" t="s">
        <v>409</v>
      </c>
      <c r="C5" s="1672" t="s">
        <v>408</v>
      </c>
      <c r="D5" s="1673">
        <f>C195</f>
        <v>1</v>
      </c>
      <c r="E5" s="1674">
        <f t="shared" ref="E5:E8" si="0">C170</f>
        <v>120000</v>
      </c>
      <c r="F5" s="1674">
        <f t="shared" ref="F5:F22" si="1">IF(C5="Contract",0,E5*$C$217)</f>
        <v>36000</v>
      </c>
      <c r="G5" s="1675">
        <f t="shared" ref="G5:G8" si="2">D5*(E5+F5)*$C$215</f>
        <v>39000</v>
      </c>
      <c r="H5" s="1676"/>
    </row>
    <row r="6" spans="1:18" x14ac:dyDescent="0.2">
      <c r="B6" s="1671" t="s">
        <v>410</v>
      </c>
      <c r="C6" s="1672" t="s">
        <v>408</v>
      </c>
      <c r="D6" s="1673">
        <f>C196</f>
        <v>1</v>
      </c>
      <c r="E6" s="1674">
        <f t="shared" si="0"/>
        <v>100000</v>
      </c>
      <c r="F6" s="1674">
        <f t="shared" si="1"/>
        <v>30000</v>
      </c>
      <c r="G6" s="1675">
        <f t="shared" si="2"/>
        <v>32500</v>
      </c>
      <c r="H6" s="1677"/>
    </row>
    <row r="7" spans="1:18" x14ac:dyDescent="0.2">
      <c r="B7" s="1671" t="s">
        <v>411</v>
      </c>
      <c r="C7" s="1672" t="s">
        <v>408</v>
      </c>
      <c r="D7" s="1673">
        <f t="shared" ref="D7:D9" si="3">C197</f>
        <v>1</v>
      </c>
      <c r="E7" s="1674">
        <f t="shared" si="0"/>
        <v>100000</v>
      </c>
      <c r="F7" s="1674">
        <f t="shared" si="1"/>
        <v>30000</v>
      </c>
      <c r="G7" s="1675">
        <f t="shared" si="2"/>
        <v>32500</v>
      </c>
      <c r="H7" s="1677"/>
    </row>
    <row r="8" spans="1:18" x14ac:dyDescent="0.2">
      <c r="B8" s="1671" t="s">
        <v>412</v>
      </c>
      <c r="C8" s="1672" t="s">
        <v>408</v>
      </c>
      <c r="D8" s="1673">
        <f t="shared" si="3"/>
        <v>0</v>
      </c>
      <c r="E8" s="1674">
        <f t="shared" si="0"/>
        <v>0</v>
      </c>
      <c r="F8" s="1674">
        <f t="shared" si="1"/>
        <v>0</v>
      </c>
      <c r="G8" s="1675">
        <f t="shared" si="2"/>
        <v>0</v>
      </c>
      <c r="H8" s="1677"/>
    </row>
    <row r="9" spans="1:18" x14ac:dyDescent="0.2">
      <c r="B9" s="1671" t="s">
        <v>413</v>
      </c>
      <c r="C9" s="1672" t="s">
        <v>408</v>
      </c>
      <c r="D9" s="1673">
        <f t="shared" si="3"/>
        <v>0</v>
      </c>
      <c r="E9" s="1674">
        <f>C174</f>
        <v>0</v>
      </c>
      <c r="F9" s="1674">
        <f t="shared" si="1"/>
        <v>0</v>
      </c>
      <c r="G9" s="1675">
        <f>D9*(E9+F9)*$C$215</f>
        <v>0</v>
      </c>
      <c r="H9" s="1677"/>
    </row>
    <row r="10" spans="1:18" x14ac:dyDescent="0.2">
      <c r="B10" s="1671" t="s">
        <v>414</v>
      </c>
      <c r="C10" s="1672" t="s">
        <v>408</v>
      </c>
      <c r="D10" s="1673">
        <f>C199</f>
        <v>0</v>
      </c>
      <c r="E10" s="1674">
        <f>C174</f>
        <v>0</v>
      </c>
      <c r="F10" s="1674">
        <f t="shared" si="1"/>
        <v>0</v>
      </c>
      <c r="G10" s="1675">
        <f>D10*(E10+F10)*$C$215</f>
        <v>0</v>
      </c>
      <c r="H10" s="1677"/>
    </row>
    <row r="11" spans="1:18" x14ac:dyDescent="0.2">
      <c r="B11" s="1671" t="s">
        <v>415</v>
      </c>
      <c r="C11" s="1672" t="s">
        <v>416</v>
      </c>
      <c r="D11" s="1673">
        <f>C200</f>
        <v>0</v>
      </c>
      <c r="E11" s="1674">
        <f>C175</f>
        <v>8000</v>
      </c>
      <c r="F11" s="1674">
        <f t="shared" si="1"/>
        <v>2400</v>
      </c>
      <c r="G11" s="1675">
        <f>D11*(E11+F11)*$C$215</f>
        <v>0</v>
      </c>
      <c r="H11" s="1676"/>
    </row>
    <row r="12" spans="1:18" x14ac:dyDescent="0.2">
      <c r="B12" s="1671" t="s">
        <v>417</v>
      </c>
      <c r="C12" s="1672" t="s">
        <v>416</v>
      </c>
      <c r="D12" s="1673" t="e">
        <f t="shared" ref="D12:D13" ca="1" si="4">C201</f>
        <v>#NAME?</v>
      </c>
      <c r="E12" s="1674" t="e">
        <f t="shared" ref="E12:E13" ca="1" si="5">C176</f>
        <v>#NAME?</v>
      </c>
      <c r="F12" s="1674" t="e">
        <f t="shared" ca="1" si="1"/>
        <v>#NAME?</v>
      </c>
      <c r="G12" s="1675" t="e">
        <f ca="1">D12*(E12+F12)*$C$216</f>
        <v>#NAME?</v>
      </c>
      <c r="H12" s="1677"/>
      <c r="I12" s="1662"/>
    </row>
    <row r="13" spans="1:18" x14ac:dyDescent="0.2">
      <c r="B13" s="1671" t="s">
        <v>418</v>
      </c>
      <c r="C13" s="1672" t="s">
        <v>416</v>
      </c>
      <c r="D13" s="1673">
        <f t="shared" si="4"/>
        <v>0</v>
      </c>
      <c r="E13" s="1674">
        <f t="shared" si="5"/>
        <v>0</v>
      </c>
      <c r="F13" s="1674">
        <f t="shared" si="1"/>
        <v>0</v>
      </c>
      <c r="G13" s="1675">
        <f>D13*(E13+F13)*$C$215</f>
        <v>0</v>
      </c>
      <c r="H13" s="1677"/>
      <c r="I13" s="1662"/>
    </row>
    <row r="14" spans="1:18" x14ac:dyDescent="0.2">
      <c r="B14" s="1671" t="s">
        <v>419</v>
      </c>
      <c r="C14" s="1672" t="s">
        <v>420</v>
      </c>
      <c r="D14" s="1673">
        <f>C203</f>
        <v>1</v>
      </c>
      <c r="E14" s="1674">
        <f t="shared" ref="E14:E21" si="6">C178</f>
        <v>30139</v>
      </c>
      <c r="F14" s="1674">
        <f t="shared" si="1"/>
        <v>0</v>
      </c>
      <c r="G14" s="1675">
        <f t="shared" ref="G14:G22" si="7">D14*(E14+F14)*$C$215</f>
        <v>7534.75</v>
      </c>
      <c r="H14" s="1677"/>
    </row>
    <row r="15" spans="1:18" x14ac:dyDescent="0.2">
      <c r="B15" s="899" t="s">
        <v>421</v>
      </c>
      <c r="C15" s="1672" t="s">
        <v>408</v>
      </c>
      <c r="D15" s="1673">
        <f>C204</f>
        <v>1</v>
      </c>
      <c r="E15" s="1674">
        <f t="shared" si="6"/>
        <v>35000</v>
      </c>
      <c r="F15" s="1674">
        <f t="shared" si="1"/>
        <v>10500</v>
      </c>
      <c r="G15" s="1675">
        <f t="shared" si="7"/>
        <v>11375</v>
      </c>
      <c r="H15" s="1677"/>
    </row>
    <row r="16" spans="1:18" x14ac:dyDescent="0.2">
      <c r="B16" s="1671" t="s">
        <v>422</v>
      </c>
      <c r="C16" s="1672" t="s">
        <v>420</v>
      </c>
      <c r="D16" s="1673">
        <f>C205</f>
        <v>1</v>
      </c>
      <c r="E16" s="1674">
        <f t="shared" si="6"/>
        <v>12000</v>
      </c>
      <c r="F16" s="1674">
        <f t="shared" si="1"/>
        <v>0</v>
      </c>
      <c r="G16" s="1675">
        <f t="shared" si="7"/>
        <v>3000</v>
      </c>
      <c r="H16" s="1677"/>
    </row>
    <row r="17" spans="2:33" x14ac:dyDescent="0.2">
      <c r="B17" s="1671" t="s">
        <v>423</v>
      </c>
      <c r="C17" s="1672" t="s">
        <v>420</v>
      </c>
      <c r="D17" s="1673">
        <f>C206</f>
        <v>1</v>
      </c>
      <c r="E17" s="1674">
        <f t="shared" si="6"/>
        <v>37374</v>
      </c>
      <c r="F17" s="1674">
        <f t="shared" si="1"/>
        <v>0</v>
      </c>
      <c r="G17" s="1675">
        <f t="shared" si="7"/>
        <v>9343.5</v>
      </c>
      <c r="H17" s="1677"/>
    </row>
    <row r="18" spans="2:33" x14ac:dyDescent="0.2">
      <c r="B18" s="1671" t="s">
        <v>424</v>
      </c>
      <c r="C18" s="1672" t="s">
        <v>408</v>
      </c>
      <c r="D18" s="1673">
        <f t="shared" ref="D18:D21" si="8">C207</f>
        <v>2</v>
      </c>
      <c r="E18" s="1674">
        <f t="shared" si="6"/>
        <v>65000</v>
      </c>
      <c r="F18" s="1674">
        <f t="shared" si="1"/>
        <v>19500</v>
      </c>
      <c r="G18" s="1675">
        <f t="shared" si="7"/>
        <v>42250</v>
      </c>
      <c r="H18" s="1677"/>
    </row>
    <row r="19" spans="2:33" x14ac:dyDescent="0.2">
      <c r="B19" s="1671" t="s">
        <v>425</v>
      </c>
      <c r="C19" s="1672" t="s">
        <v>408</v>
      </c>
      <c r="D19" s="1673">
        <f t="shared" si="8"/>
        <v>0</v>
      </c>
      <c r="E19" s="1674">
        <f t="shared" si="6"/>
        <v>0</v>
      </c>
      <c r="F19" s="1674">
        <f t="shared" si="1"/>
        <v>0</v>
      </c>
      <c r="G19" s="1675">
        <f t="shared" si="7"/>
        <v>0</v>
      </c>
      <c r="H19" s="1677"/>
    </row>
    <row r="20" spans="2:33" x14ac:dyDescent="0.2">
      <c r="B20" s="1678" t="s">
        <v>426</v>
      </c>
      <c r="C20" s="1679" t="s">
        <v>427</v>
      </c>
      <c r="D20" s="1673">
        <f t="shared" si="8"/>
        <v>0</v>
      </c>
      <c r="E20" s="1674">
        <f t="shared" si="6"/>
        <v>0</v>
      </c>
      <c r="F20" s="1674">
        <v>0</v>
      </c>
      <c r="G20" s="1675">
        <f t="shared" si="7"/>
        <v>0</v>
      </c>
      <c r="H20" s="1677"/>
    </row>
    <row r="21" spans="2:33" x14ac:dyDescent="0.2">
      <c r="B21" s="1678" t="s">
        <v>428</v>
      </c>
      <c r="C21" s="1679" t="s">
        <v>408</v>
      </c>
      <c r="D21" s="1673">
        <f t="shared" si="8"/>
        <v>0</v>
      </c>
      <c r="E21" s="1674">
        <f t="shared" si="6"/>
        <v>0</v>
      </c>
      <c r="F21" s="1674">
        <f>ACV!O11*$C$217*D21</f>
        <v>0</v>
      </c>
      <c r="G21" s="1675">
        <f t="shared" si="7"/>
        <v>0</v>
      </c>
      <c r="H21" s="1677"/>
    </row>
    <row r="22" spans="2:33" ht="17.25" customHeight="1" x14ac:dyDescent="0.2">
      <c r="B22" s="1680" t="s">
        <v>429</v>
      </c>
      <c r="C22" s="1681" t="s">
        <v>408</v>
      </c>
      <c r="D22" s="1682">
        <f>C211</f>
        <v>1</v>
      </c>
      <c r="E22" s="1683">
        <f>C186</f>
        <v>50000</v>
      </c>
      <c r="F22" s="1683">
        <f t="shared" si="1"/>
        <v>15000</v>
      </c>
      <c r="G22" s="1684">
        <f t="shared" si="7"/>
        <v>16250</v>
      </c>
      <c r="H22" s="1677"/>
      <c r="R22" s="791"/>
      <c r="S22" s="791"/>
      <c r="T22" s="791"/>
      <c r="U22" s="791"/>
      <c r="V22" s="791"/>
      <c r="W22" s="791"/>
      <c r="X22" s="791"/>
      <c r="Y22" s="791"/>
      <c r="Z22" s="791"/>
      <c r="AA22" s="791"/>
      <c r="AB22" s="791"/>
      <c r="AC22" s="791"/>
      <c r="AD22" s="791"/>
      <c r="AE22" s="791"/>
      <c r="AF22" s="791"/>
      <c r="AG22" s="791"/>
    </row>
    <row r="23" spans="2:33" x14ac:dyDescent="0.2">
      <c r="B23" s="1379" t="s">
        <v>430</v>
      </c>
      <c r="C23" s="791"/>
      <c r="D23" s="791"/>
      <c r="E23" s="1685"/>
      <c r="F23" s="1685"/>
      <c r="G23" s="1686" t="e">
        <f ca="1">SUM(G4:G22)</f>
        <v>#NAME?</v>
      </c>
      <c r="H23" s="1677"/>
      <c r="Q23" s="1665"/>
      <c r="R23" s="791"/>
      <c r="S23" s="791"/>
      <c r="T23" s="791"/>
      <c r="U23" s="791"/>
      <c r="V23" s="791"/>
      <c r="W23" s="791"/>
      <c r="X23" s="791"/>
      <c r="Y23" s="791"/>
      <c r="Z23" s="791"/>
      <c r="AA23" s="791"/>
      <c r="AB23" s="791"/>
      <c r="AC23" s="791"/>
      <c r="AD23" s="791"/>
      <c r="AE23" s="791"/>
      <c r="AF23" s="791"/>
      <c r="AG23" s="791"/>
    </row>
    <row r="24" spans="2:33" x14ac:dyDescent="0.2">
      <c r="B24" s="891" t="s">
        <v>431</v>
      </c>
      <c r="C24" s="1390"/>
      <c r="D24" s="1390"/>
      <c r="E24" s="1687"/>
      <c r="F24" s="1687"/>
      <c r="G24" s="1688" t="e">
        <f ca="1">G12</f>
        <v>#NAME?</v>
      </c>
      <c r="H24" s="1677"/>
      <c r="Q24" s="1665"/>
      <c r="R24" s="791"/>
      <c r="S24" s="791"/>
      <c r="T24" s="791"/>
      <c r="U24" s="791"/>
      <c r="V24" s="791"/>
      <c r="W24" s="791"/>
      <c r="X24" s="791"/>
      <c r="Y24" s="791"/>
      <c r="Z24" s="791"/>
      <c r="AA24" s="791"/>
      <c r="AB24" s="791"/>
      <c r="AC24" s="791"/>
      <c r="AD24" s="791"/>
      <c r="AE24" s="791"/>
      <c r="AF24" s="791"/>
      <c r="AG24" s="791"/>
    </row>
    <row r="25" spans="2:33" x14ac:dyDescent="0.2">
      <c r="B25" s="899" t="s">
        <v>432</v>
      </c>
      <c r="C25" s="791"/>
      <c r="D25" s="791"/>
      <c r="E25" s="757"/>
      <c r="F25" s="757"/>
      <c r="G25" s="1237">
        <f>G22+G13</f>
        <v>16250</v>
      </c>
      <c r="H25" s="1677"/>
      <c r="Q25" s="1665"/>
      <c r="R25" s="791"/>
      <c r="S25" s="791"/>
      <c r="T25" s="791"/>
      <c r="U25" s="791"/>
      <c r="V25" s="791"/>
      <c r="W25" s="791"/>
      <c r="X25" s="791"/>
      <c r="Y25" s="791"/>
      <c r="Z25" s="791"/>
      <c r="AA25" s="791"/>
      <c r="AB25" s="791"/>
      <c r="AC25" s="791"/>
      <c r="AD25" s="791"/>
      <c r="AE25" s="791"/>
      <c r="AF25" s="791"/>
      <c r="AG25" s="791"/>
    </row>
    <row r="26" spans="2:33" x14ac:dyDescent="0.2">
      <c r="B26" s="1689" t="s">
        <v>433</v>
      </c>
      <c r="C26" s="914"/>
      <c r="D26" s="914"/>
      <c r="E26" s="1246"/>
      <c r="F26" s="1246"/>
      <c r="G26" s="1247">
        <f>SUM(G4:G11)+SUM(G14:G19)</f>
        <v>223003.25</v>
      </c>
      <c r="Q26" s="1665"/>
      <c r="R26" s="791"/>
      <c r="S26" s="791"/>
      <c r="T26" s="791"/>
      <c r="U26" s="791"/>
      <c r="V26" s="791"/>
      <c r="W26" s="791"/>
      <c r="X26" s="791"/>
      <c r="Y26" s="791"/>
      <c r="Z26" s="791"/>
      <c r="AA26" s="791"/>
      <c r="AB26" s="791"/>
      <c r="AC26" s="791"/>
      <c r="AD26" s="791"/>
      <c r="AE26" s="791"/>
      <c r="AF26" s="791"/>
      <c r="AG26" s="791"/>
    </row>
    <row r="27" spans="2:33" x14ac:dyDescent="0.2">
      <c r="B27" s="791"/>
      <c r="C27" s="791"/>
      <c r="D27" s="791"/>
      <c r="E27" s="757"/>
      <c r="F27" s="757"/>
      <c r="G27" s="757"/>
      <c r="Q27" s="1665"/>
      <c r="R27" s="791"/>
      <c r="S27" s="791"/>
      <c r="T27" s="791"/>
      <c r="U27" s="791"/>
      <c r="V27" s="791"/>
      <c r="W27" s="791"/>
      <c r="X27" s="791"/>
      <c r="Y27" s="791"/>
      <c r="Z27" s="791"/>
      <c r="AA27" s="791"/>
      <c r="AB27" s="791"/>
      <c r="AC27" s="791"/>
      <c r="AD27" s="791"/>
      <c r="AE27" s="791"/>
      <c r="AF27" s="791"/>
      <c r="AG27" s="791"/>
    </row>
    <row r="28" spans="2:33" s="1690" customFormat="1" ht="8.25" customHeight="1" x14ac:dyDescent="0.2">
      <c r="Q28" s="1691"/>
    </row>
    <row r="29" spans="2:33" ht="16.25" customHeight="1" x14ac:dyDescent="0.2">
      <c r="Q29" s="1665"/>
    </row>
    <row r="30" spans="2:33" ht="16.25" customHeight="1" x14ac:dyDescent="0.2">
      <c r="B30" s="2893" t="s">
        <v>434</v>
      </c>
      <c r="C30" s="2894"/>
      <c r="D30" s="2894"/>
      <c r="E30" s="2894"/>
      <c r="F30" s="2894"/>
      <c r="G30" s="2895"/>
      <c r="Q30" s="1665"/>
    </row>
    <row r="31" spans="2:33" ht="36" customHeight="1" x14ac:dyDescent="0.2">
      <c r="B31" s="1692" t="s">
        <v>401</v>
      </c>
      <c r="C31" s="1693" t="s">
        <v>402</v>
      </c>
      <c r="D31" s="1693" t="s">
        <v>403</v>
      </c>
      <c r="E31" s="1693" t="s">
        <v>408</v>
      </c>
      <c r="F31" s="1694" t="s">
        <v>405</v>
      </c>
      <c r="G31" s="1695" t="s">
        <v>406</v>
      </c>
      <c r="Q31" s="901"/>
    </row>
    <row r="32" spans="2:33" ht="16.25" customHeight="1" x14ac:dyDescent="0.2">
      <c r="B32" s="1671" t="s">
        <v>407</v>
      </c>
      <c r="C32" s="1672" t="s">
        <v>408</v>
      </c>
      <c r="D32" s="1696">
        <f>D194</f>
        <v>1</v>
      </c>
      <c r="E32" s="1674">
        <f>D169</f>
        <v>154000</v>
      </c>
      <c r="F32" s="1674">
        <f>IF(C32="Contract",0,E32*$C$217)</f>
        <v>46200</v>
      </c>
      <c r="G32" s="1675">
        <f>D32*(E32+F32)</f>
        <v>200200</v>
      </c>
    </row>
    <row r="33" spans="2:7" ht="16.25" customHeight="1" x14ac:dyDescent="0.2">
      <c r="B33" s="1671" t="s">
        <v>409</v>
      </c>
      <c r="C33" s="1672" t="s">
        <v>408</v>
      </c>
      <c r="D33" s="1696">
        <f>D195</f>
        <v>1</v>
      </c>
      <c r="E33" s="1674">
        <f>D170</f>
        <v>132000</v>
      </c>
      <c r="F33" s="1674">
        <f t="shared" ref="F33:F50" si="9">IF(C33="Contract",0,E33*$C$217)</f>
        <v>39600</v>
      </c>
      <c r="G33" s="1675">
        <f>D33*(E33+F33)</f>
        <v>171600</v>
      </c>
    </row>
    <row r="34" spans="2:7" ht="16.25" customHeight="1" x14ac:dyDescent="0.2">
      <c r="B34" s="1671" t="s">
        <v>410</v>
      </c>
      <c r="C34" s="1672" t="s">
        <v>408</v>
      </c>
      <c r="D34" s="1696">
        <f t="shared" ref="D34:D37" si="10">D196</f>
        <v>1</v>
      </c>
      <c r="E34" s="1674">
        <f t="shared" ref="E34:E37" si="11">D171</f>
        <v>110000.00000000001</v>
      </c>
      <c r="F34" s="1674">
        <f t="shared" si="9"/>
        <v>33000</v>
      </c>
      <c r="G34" s="1675">
        <f t="shared" ref="G34:G37" si="12">D34*(E34+F34)</f>
        <v>143000</v>
      </c>
    </row>
    <row r="35" spans="2:7" ht="16.25" customHeight="1" x14ac:dyDescent="0.2">
      <c r="B35" s="1671" t="s">
        <v>411</v>
      </c>
      <c r="C35" s="1672" t="s">
        <v>408</v>
      </c>
      <c r="D35" s="1696">
        <f t="shared" si="10"/>
        <v>1</v>
      </c>
      <c r="E35" s="1674">
        <f t="shared" si="11"/>
        <v>110000.00000000001</v>
      </c>
      <c r="F35" s="1674">
        <f t="shared" si="9"/>
        <v>33000</v>
      </c>
      <c r="G35" s="1675">
        <f t="shared" si="12"/>
        <v>143000</v>
      </c>
    </row>
    <row r="36" spans="2:7" ht="16.25" customHeight="1" x14ac:dyDescent="0.2">
      <c r="B36" s="1671" t="s">
        <v>412</v>
      </c>
      <c r="C36" s="1672" t="s">
        <v>408</v>
      </c>
      <c r="D36" s="1696">
        <f t="shared" si="10"/>
        <v>0</v>
      </c>
      <c r="E36" s="1674">
        <f t="shared" si="11"/>
        <v>0</v>
      </c>
      <c r="F36" s="1674">
        <f t="shared" si="9"/>
        <v>0</v>
      </c>
      <c r="G36" s="1675">
        <f t="shared" si="12"/>
        <v>0</v>
      </c>
    </row>
    <row r="37" spans="2:7" ht="16.25" customHeight="1" x14ac:dyDescent="0.2">
      <c r="B37" s="1671" t="s">
        <v>413</v>
      </c>
      <c r="C37" s="1672" t="s">
        <v>408</v>
      </c>
      <c r="D37" s="1696">
        <f t="shared" si="10"/>
        <v>1</v>
      </c>
      <c r="E37" s="1674">
        <f t="shared" si="11"/>
        <v>60000</v>
      </c>
      <c r="F37" s="1674">
        <f t="shared" si="9"/>
        <v>18000</v>
      </c>
      <c r="G37" s="1675">
        <f t="shared" si="12"/>
        <v>78000</v>
      </c>
    </row>
    <row r="38" spans="2:7" ht="16.25" customHeight="1" x14ac:dyDescent="0.2">
      <c r="B38" s="1671" t="s">
        <v>414</v>
      </c>
      <c r="C38" s="1672" t="s">
        <v>408</v>
      </c>
      <c r="D38" s="1696">
        <f t="shared" ref="D38:D44" si="13">D199</f>
        <v>1</v>
      </c>
      <c r="E38" s="1674">
        <f t="shared" ref="E38:E44" si="14">D174</f>
        <v>60000</v>
      </c>
      <c r="F38" s="1674">
        <f t="shared" si="9"/>
        <v>18000</v>
      </c>
      <c r="G38" s="1675">
        <f>D38*(E38+F38)*C219</f>
        <v>39000</v>
      </c>
    </row>
    <row r="39" spans="2:7" ht="16.25" customHeight="1" x14ac:dyDescent="0.2">
      <c r="B39" s="1671" t="s">
        <v>415</v>
      </c>
      <c r="C39" s="1672" t="s">
        <v>416</v>
      </c>
      <c r="D39" s="1696">
        <f t="shared" si="13"/>
        <v>0</v>
      </c>
      <c r="E39" s="1674">
        <f t="shared" si="14"/>
        <v>8257.6</v>
      </c>
      <c r="F39" s="1674">
        <f t="shared" si="9"/>
        <v>2477.2800000000002</v>
      </c>
      <c r="G39" s="1675">
        <f>D39*(E39+F39)</f>
        <v>0</v>
      </c>
    </row>
    <row r="40" spans="2:7" ht="16.25" customHeight="1" x14ac:dyDescent="0.2">
      <c r="B40" s="1671" t="s">
        <v>417</v>
      </c>
      <c r="C40" s="1672" t="s">
        <v>416</v>
      </c>
      <c r="D40" s="1696" t="e">
        <f t="shared" ca="1" si="13"/>
        <v>#NAME?</v>
      </c>
      <c r="E40" s="1674">
        <f t="shared" si="14"/>
        <v>16000</v>
      </c>
      <c r="F40" s="1674">
        <f t="shared" si="9"/>
        <v>4800</v>
      </c>
      <c r="G40" s="1675" t="e">
        <f t="shared" ref="G40:G50" ca="1" si="15">D40*(E40+F40)</f>
        <v>#NAME?</v>
      </c>
    </row>
    <row r="41" spans="2:7" ht="16.25" customHeight="1" x14ac:dyDescent="0.2">
      <c r="B41" s="1671" t="s">
        <v>418</v>
      </c>
      <c r="C41" s="1672" t="s">
        <v>416</v>
      </c>
      <c r="D41" s="1696" t="e">
        <f t="shared" ca="1" si="13"/>
        <v>#NAME?</v>
      </c>
      <c r="E41" s="1674" t="e">
        <f t="shared" ca="1" si="14"/>
        <v>#NAME?</v>
      </c>
      <c r="F41" s="1674" t="e">
        <f t="shared" ca="1" si="9"/>
        <v>#NAME?</v>
      </c>
      <c r="G41" s="1675" t="e">
        <f t="shared" ca="1" si="15"/>
        <v>#NAME?</v>
      </c>
    </row>
    <row r="42" spans="2:7" ht="16.25" customHeight="1" x14ac:dyDescent="0.2">
      <c r="B42" s="1671" t="s">
        <v>419</v>
      </c>
      <c r="C42" s="1672" t="str">
        <f>C14</f>
        <v>Contract</v>
      </c>
      <c r="D42" s="1696">
        <f t="shared" si="13"/>
        <v>1</v>
      </c>
      <c r="E42" s="1674">
        <f t="shared" si="14"/>
        <v>31109.4758</v>
      </c>
      <c r="F42" s="1674">
        <f t="shared" si="9"/>
        <v>0</v>
      </c>
      <c r="G42" s="1675">
        <f t="shared" si="15"/>
        <v>31109.4758</v>
      </c>
    </row>
    <row r="43" spans="2:7" ht="16.25" customHeight="1" x14ac:dyDescent="0.2">
      <c r="B43" s="899" t="s">
        <v>421</v>
      </c>
      <c r="C43" s="1672" t="s">
        <v>408</v>
      </c>
      <c r="D43" s="1696">
        <f t="shared" si="13"/>
        <v>1</v>
      </c>
      <c r="E43" s="1674">
        <f t="shared" si="14"/>
        <v>36400</v>
      </c>
      <c r="F43" s="1674">
        <f t="shared" si="9"/>
        <v>10920</v>
      </c>
      <c r="G43" s="1675">
        <f t="shared" si="15"/>
        <v>47320</v>
      </c>
    </row>
    <row r="44" spans="2:7" ht="16.25" customHeight="1" x14ac:dyDescent="0.2">
      <c r="B44" s="1671" t="s">
        <v>422</v>
      </c>
      <c r="C44" s="1672" t="s">
        <v>420</v>
      </c>
      <c r="D44" s="1696">
        <f t="shared" si="13"/>
        <v>1</v>
      </c>
      <c r="E44" s="1674">
        <f t="shared" si="14"/>
        <v>12386.4</v>
      </c>
      <c r="F44" s="1674">
        <f t="shared" si="9"/>
        <v>0</v>
      </c>
      <c r="G44" s="1675">
        <f t="shared" si="15"/>
        <v>12386.4</v>
      </c>
    </row>
    <row r="45" spans="2:7" ht="16.25" customHeight="1" x14ac:dyDescent="0.2">
      <c r="B45" s="1671" t="s">
        <v>423</v>
      </c>
      <c r="C45" s="1672" t="str">
        <f>C17</f>
        <v>Contract</v>
      </c>
      <c r="D45" s="1696">
        <f t="shared" ref="D45:D47" si="16">D206</f>
        <v>1</v>
      </c>
      <c r="E45" s="1674">
        <f t="shared" ref="E45:E47" si="17">D181</f>
        <v>38577.442799999997</v>
      </c>
      <c r="F45" s="1674">
        <f t="shared" si="9"/>
        <v>0</v>
      </c>
      <c r="G45" s="1675">
        <f t="shared" si="15"/>
        <v>38577.442799999997</v>
      </c>
    </row>
    <row r="46" spans="2:7" ht="16.25" customHeight="1" x14ac:dyDescent="0.2">
      <c r="B46" s="1671" t="s">
        <v>424</v>
      </c>
      <c r="C46" s="1672" t="s">
        <v>408</v>
      </c>
      <c r="D46" s="1696">
        <f t="shared" si="16"/>
        <v>2</v>
      </c>
      <c r="E46" s="1674">
        <f t="shared" si="17"/>
        <v>68250</v>
      </c>
      <c r="F46" s="1674">
        <f t="shared" si="9"/>
        <v>20475</v>
      </c>
      <c r="G46" s="1675">
        <f t="shared" si="15"/>
        <v>177450</v>
      </c>
    </row>
    <row r="47" spans="2:7" ht="16.25" customHeight="1" x14ac:dyDescent="0.2">
      <c r="B47" s="1671" t="s">
        <v>425</v>
      </c>
      <c r="C47" s="1672" t="s">
        <v>408</v>
      </c>
      <c r="D47" s="1696">
        <f t="shared" si="16"/>
        <v>0</v>
      </c>
      <c r="E47" s="1674">
        <f t="shared" si="17"/>
        <v>0</v>
      </c>
      <c r="F47" s="1674">
        <f t="shared" si="9"/>
        <v>0</v>
      </c>
      <c r="G47" s="1675">
        <f t="shared" si="15"/>
        <v>0</v>
      </c>
    </row>
    <row r="48" spans="2:7" ht="16.25" customHeight="1" x14ac:dyDescent="0.2">
      <c r="B48" s="1678" t="s">
        <v>426</v>
      </c>
      <c r="C48" s="1679" t="s">
        <v>427</v>
      </c>
      <c r="D48" s="1504">
        <f>D209</f>
        <v>1</v>
      </c>
      <c r="E48" s="1697" t="e">
        <f ca="1">D184</f>
        <v>#NAME?</v>
      </c>
      <c r="F48" s="1674">
        <v>0</v>
      </c>
      <c r="G48" s="1675" t="e">
        <f t="shared" ca="1" si="15"/>
        <v>#NAME?</v>
      </c>
    </row>
    <row r="49" spans="2:17" ht="16.25" customHeight="1" x14ac:dyDescent="0.2">
      <c r="B49" s="1678" t="s">
        <v>428</v>
      </c>
      <c r="C49" s="1679" t="s">
        <v>408</v>
      </c>
      <c r="D49" s="1504">
        <f>D210</f>
        <v>0</v>
      </c>
      <c r="E49" s="1697">
        <f>D185</f>
        <v>0</v>
      </c>
      <c r="F49" s="1674">
        <f>ACV!O11*$C$217*D49</f>
        <v>0</v>
      </c>
      <c r="G49" s="1675">
        <f t="shared" si="15"/>
        <v>0</v>
      </c>
    </row>
    <row r="50" spans="2:17" ht="16.25" customHeight="1" x14ac:dyDescent="0.2">
      <c r="B50" s="1671" t="s">
        <v>429</v>
      </c>
      <c r="C50" s="1672" t="s">
        <v>408</v>
      </c>
      <c r="D50" s="1696">
        <f>D211</f>
        <v>1</v>
      </c>
      <c r="E50" s="1674">
        <f>D186</f>
        <v>54000</v>
      </c>
      <c r="F50" s="1674">
        <f t="shared" si="9"/>
        <v>16200</v>
      </c>
      <c r="G50" s="1675">
        <f t="shared" si="15"/>
        <v>70200</v>
      </c>
    </row>
    <row r="51" spans="2:17" ht="16.25" customHeight="1" x14ac:dyDescent="0.2">
      <c r="B51" s="1440" t="s">
        <v>430</v>
      </c>
      <c r="C51" s="890"/>
      <c r="D51" s="890"/>
      <c r="E51" s="1698"/>
      <c r="F51" s="1698"/>
      <c r="G51" s="1699" t="e">
        <f ca="1">SUM(G32:G50)</f>
        <v>#NAME?</v>
      </c>
    </row>
    <row r="52" spans="2:17" ht="16.25" customHeight="1" x14ac:dyDescent="0.2">
      <c r="B52" s="899" t="s">
        <v>431</v>
      </c>
      <c r="C52" s="791"/>
      <c r="D52" s="791"/>
      <c r="E52" s="1685"/>
      <c r="F52" s="1685"/>
      <c r="G52" s="1686" t="e">
        <f ca="1">G40</f>
        <v>#NAME?</v>
      </c>
    </row>
    <row r="53" spans="2:17" ht="16.25" customHeight="1" x14ac:dyDescent="0.2">
      <c r="B53" s="899" t="s">
        <v>432</v>
      </c>
      <c r="C53" s="791"/>
      <c r="D53" s="791"/>
      <c r="E53" s="1685"/>
      <c r="F53" s="1685"/>
      <c r="G53" s="1686" t="e">
        <f ca="1">G50+G41</f>
        <v>#NAME?</v>
      </c>
    </row>
    <row r="54" spans="2:17" ht="16.25" customHeight="1" x14ac:dyDescent="0.2">
      <c r="B54" s="1689" t="s">
        <v>433</v>
      </c>
      <c r="C54" s="914"/>
      <c r="D54" s="914"/>
      <c r="E54" s="1700"/>
      <c r="F54" s="1700"/>
      <c r="G54" s="1701" t="e">
        <f ca="1">SUM(G32:G39)+SUM(G42:G49)</f>
        <v>#NAME?</v>
      </c>
    </row>
    <row r="55" spans="2:17" ht="16.25" customHeight="1" x14ac:dyDescent="0.2">
      <c r="B55" s="791"/>
      <c r="C55" s="791"/>
      <c r="D55" s="791"/>
      <c r="E55" s="1685"/>
      <c r="F55" s="1685"/>
      <c r="G55" s="1685"/>
    </row>
    <row r="56" spans="2:17" s="1690" customFormat="1" ht="3" customHeight="1" x14ac:dyDescent="0.2">
      <c r="Q56" s="1691"/>
    </row>
    <row r="57" spans="2:17" ht="16.25" customHeight="1" x14ac:dyDescent="0.2">
      <c r="D57" s="952"/>
    </row>
    <row r="58" spans="2:17" ht="16.25" customHeight="1" x14ac:dyDescent="0.2">
      <c r="B58" s="2890" t="s">
        <v>435</v>
      </c>
      <c r="C58" s="2891"/>
      <c r="D58" s="2891"/>
      <c r="E58" s="2891"/>
      <c r="F58" s="2891"/>
      <c r="G58" s="2892"/>
    </row>
    <row r="59" spans="2:17" ht="32" x14ac:dyDescent="0.2">
      <c r="B59" s="1702" t="s">
        <v>401</v>
      </c>
      <c r="C59" s="1703" t="s">
        <v>402</v>
      </c>
      <c r="D59" s="1703" t="s">
        <v>403</v>
      </c>
      <c r="E59" s="1703" t="s">
        <v>408</v>
      </c>
      <c r="F59" s="1703" t="s">
        <v>405</v>
      </c>
      <c r="G59" s="1704" t="s">
        <v>406</v>
      </c>
    </row>
    <row r="60" spans="2:17" ht="16.25" customHeight="1" x14ac:dyDescent="0.2">
      <c r="B60" s="899" t="s">
        <v>407</v>
      </c>
      <c r="C60" s="786" t="s">
        <v>408</v>
      </c>
      <c r="D60" s="1504">
        <f>E194</f>
        <v>1</v>
      </c>
      <c r="E60" s="1697">
        <f>E169</f>
        <v>169400</v>
      </c>
      <c r="F60" s="1674">
        <f t="shared" ref="F60:F75" si="18">IF(C60="Contract",0,E60*$C$217)</f>
        <v>50820</v>
      </c>
      <c r="G60" s="1675">
        <f>D60*(E60+F60)</f>
        <v>220220</v>
      </c>
    </row>
    <row r="61" spans="2:17" ht="16.25" customHeight="1" x14ac:dyDescent="0.2">
      <c r="B61" s="899" t="s">
        <v>409</v>
      </c>
      <c r="C61" s="786" t="s">
        <v>408</v>
      </c>
      <c r="D61" s="1504">
        <f>E195</f>
        <v>1</v>
      </c>
      <c r="E61" s="1697">
        <f>E170</f>
        <v>145200</v>
      </c>
      <c r="F61" s="1674">
        <f t="shared" si="18"/>
        <v>43560</v>
      </c>
      <c r="G61" s="1675">
        <f>D61*(E61+F61)</f>
        <v>188760</v>
      </c>
    </row>
    <row r="62" spans="2:17" ht="16.25" customHeight="1" x14ac:dyDescent="0.2">
      <c r="B62" s="899" t="s">
        <v>410</v>
      </c>
      <c r="C62" s="786" t="s">
        <v>408</v>
      </c>
      <c r="D62" s="1504">
        <f>E196</f>
        <v>1</v>
      </c>
      <c r="E62" s="1697">
        <f>E171</f>
        <v>121000.00000000003</v>
      </c>
      <c r="F62" s="1674">
        <f t="shared" si="18"/>
        <v>36300.000000000007</v>
      </c>
      <c r="G62" s="1675">
        <f t="shared" ref="G62:G63" si="19">D62*(E62+F62)</f>
        <v>157300.00000000003</v>
      </c>
    </row>
    <row r="63" spans="2:17" ht="16.25" customHeight="1" x14ac:dyDescent="0.2">
      <c r="B63" s="899" t="s">
        <v>411</v>
      </c>
      <c r="C63" s="786" t="s">
        <v>408</v>
      </c>
      <c r="D63" s="1504">
        <f>E197</f>
        <v>1</v>
      </c>
      <c r="E63" s="1697">
        <f>E172</f>
        <v>121000.00000000003</v>
      </c>
      <c r="F63" s="1674">
        <f t="shared" si="18"/>
        <v>36300.000000000007</v>
      </c>
      <c r="G63" s="1675">
        <f t="shared" si="19"/>
        <v>157300.00000000003</v>
      </c>
    </row>
    <row r="64" spans="2:17" ht="16.25" customHeight="1" x14ac:dyDescent="0.2">
      <c r="B64" s="899" t="s">
        <v>412</v>
      </c>
      <c r="C64" s="786" t="s">
        <v>408</v>
      </c>
      <c r="D64" s="1504">
        <f t="shared" ref="D64" si="20">E198</f>
        <v>0</v>
      </c>
      <c r="E64" s="1697">
        <f t="shared" ref="E64:E67" si="21">E173</f>
        <v>0</v>
      </c>
      <c r="F64" s="1674">
        <f t="shared" si="18"/>
        <v>0</v>
      </c>
      <c r="G64" s="1675">
        <f t="shared" ref="G64:G67" si="22">D64*(E64+F64)</f>
        <v>0</v>
      </c>
    </row>
    <row r="65" spans="2:7" ht="16.25" customHeight="1" x14ac:dyDescent="0.2">
      <c r="B65" s="899" t="s">
        <v>413</v>
      </c>
      <c r="C65" s="786" t="s">
        <v>408</v>
      </c>
      <c r="D65" s="1504">
        <f>E197</f>
        <v>1</v>
      </c>
      <c r="E65" s="1697">
        <f t="shared" si="21"/>
        <v>62532</v>
      </c>
      <c r="F65" s="1674">
        <f t="shared" si="18"/>
        <v>18759.599999999999</v>
      </c>
      <c r="G65" s="1675">
        <f t="shared" si="22"/>
        <v>81291.600000000006</v>
      </c>
    </row>
    <row r="66" spans="2:7" ht="16.25" customHeight="1" x14ac:dyDescent="0.2">
      <c r="B66" s="899" t="s">
        <v>414</v>
      </c>
      <c r="C66" s="786" t="s">
        <v>408</v>
      </c>
      <c r="D66" s="1504">
        <f>E197</f>
        <v>1</v>
      </c>
      <c r="E66" s="1697">
        <f>E174</f>
        <v>62532</v>
      </c>
      <c r="F66" s="1674">
        <f t="shared" si="18"/>
        <v>18759.599999999999</v>
      </c>
      <c r="G66" s="1675">
        <f t="shared" si="22"/>
        <v>81291.600000000006</v>
      </c>
    </row>
    <row r="67" spans="2:7" ht="16.25" customHeight="1" x14ac:dyDescent="0.2">
      <c r="B67" s="947" t="s">
        <v>415</v>
      </c>
      <c r="C67" s="1679" t="s">
        <v>416</v>
      </c>
      <c r="D67" s="1504">
        <f>E200</f>
        <v>0</v>
      </c>
      <c r="E67" s="1697">
        <f t="shared" si="21"/>
        <v>16515.2</v>
      </c>
      <c r="F67" s="1674">
        <f t="shared" si="18"/>
        <v>4954.5600000000004</v>
      </c>
      <c r="G67" s="1675">
        <f t="shared" si="22"/>
        <v>0</v>
      </c>
    </row>
    <row r="68" spans="2:7" ht="16.25" customHeight="1" x14ac:dyDescent="0.2">
      <c r="B68" s="947" t="s">
        <v>417</v>
      </c>
      <c r="C68" s="1679" t="s">
        <v>416</v>
      </c>
      <c r="D68" s="1705" t="e">
        <f t="shared" ref="D68" ca="1" si="23">E201</f>
        <v>#NAME?</v>
      </c>
      <c r="E68" s="1697">
        <f t="shared" ref="E68:E74" si="24">E176</f>
        <v>16515.2</v>
      </c>
      <c r="F68" s="1674">
        <f t="shared" si="18"/>
        <v>4954.5600000000004</v>
      </c>
      <c r="G68" s="1675" t="e">
        <f t="shared" ref="G68:G78" ca="1" si="25">D68*(E68+F68)</f>
        <v>#NAME?</v>
      </c>
    </row>
    <row r="69" spans="2:7" ht="16.25" customHeight="1" x14ac:dyDescent="0.2">
      <c r="B69" s="947" t="s">
        <v>418</v>
      </c>
      <c r="C69" s="1679" t="s">
        <v>416</v>
      </c>
      <c r="D69" s="1504" t="e">
        <f t="shared" ref="D69:D74" ca="1" si="26">E202</f>
        <v>#NAME?</v>
      </c>
      <c r="E69" s="1697" t="e">
        <f t="shared" ca="1" si="24"/>
        <v>#NAME?</v>
      </c>
      <c r="F69" s="1674" t="e">
        <f t="shared" ca="1" si="18"/>
        <v>#NAME?</v>
      </c>
      <c r="G69" s="1675" t="e">
        <f t="shared" ca="1" si="25"/>
        <v>#NAME?</v>
      </c>
    </row>
    <row r="70" spans="2:7" ht="16.25" customHeight="1" x14ac:dyDescent="0.2">
      <c r="B70" s="947" t="s">
        <v>419</v>
      </c>
      <c r="C70" s="1679" t="str">
        <f>C14</f>
        <v>Contract</v>
      </c>
      <c r="D70" s="1504">
        <f t="shared" si="26"/>
        <v>1</v>
      </c>
      <c r="E70" s="1697">
        <f t="shared" si="24"/>
        <v>32111.200920759999</v>
      </c>
      <c r="F70" s="1674">
        <f t="shared" si="18"/>
        <v>0</v>
      </c>
      <c r="G70" s="1675">
        <f t="shared" si="25"/>
        <v>32111.200920759999</v>
      </c>
    </row>
    <row r="71" spans="2:7" ht="16.25" customHeight="1" x14ac:dyDescent="0.2">
      <c r="B71" s="899" t="s">
        <v>421</v>
      </c>
      <c r="C71" s="1679" t="s">
        <v>408</v>
      </c>
      <c r="D71" s="1504">
        <f t="shared" si="26"/>
        <v>1</v>
      </c>
      <c r="E71" s="1697">
        <f t="shared" si="24"/>
        <v>37856</v>
      </c>
      <c r="F71" s="1674">
        <f t="shared" si="18"/>
        <v>11356.8</v>
      </c>
      <c r="G71" s="1675">
        <f t="shared" si="25"/>
        <v>49212.800000000003</v>
      </c>
    </row>
    <row r="72" spans="2:7" ht="16.25" customHeight="1" x14ac:dyDescent="0.2">
      <c r="B72" s="947" t="s">
        <v>422</v>
      </c>
      <c r="C72" s="1679" t="s">
        <v>420</v>
      </c>
      <c r="D72" s="1705">
        <f t="shared" si="26"/>
        <v>1</v>
      </c>
      <c r="E72" s="1697">
        <f t="shared" si="24"/>
        <v>12785.24208</v>
      </c>
      <c r="F72" s="1674">
        <f t="shared" si="18"/>
        <v>0</v>
      </c>
      <c r="G72" s="1675">
        <f t="shared" si="25"/>
        <v>12785.24208</v>
      </c>
    </row>
    <row r="73" spans="2:7" ht="16.25" customHeight="1" x14ac:dyDescent="0.2">
      <c r="B73" s="947" t="s">
        <v>423</v>
      </c>
      <c r="C73" s="1679" t="str">
        <f>C17</f>
        <v>Contract</v>
      </c>
      <c r="D73" s="1705">
        <f t="shared" si="26"/>
        <v>1</v>
      </c>
      <c r="E73" s="1697">
        <f t="shared" si="24"/>
        <v>39819.636458159999</v>
      </c>
      <c r="F73" s="1674">
        <f t="shared" si="18"/>
        <v>0</v>
      </c>
      <c r="G73" s="1675">
        <f t="shared" si="25"/>
        <v>39819.636458159999</v>
      </c>
    </row>
    <row r="74" spans="2:7" ht="16.25" customHeight="1" x14ac:dyDescent="0.2">
      <c r="B74" s="947" t="s">
        <v>424</v>
      </c>
      <c r="C74" s="1679" t="s">
        <v>408</v>
      </c>
      <c r="D74" s="1705">
        <f t="shared" si="26"/>
        <v>2</v>
      </c>
      <c r="E74" s="1697">
        <f t="shared" si="24"/>
        <v>71662.5</v>
      </c>
      <c r="F74" s="1674">
        <f t="shared" si="18"/>
        <v>21498.75</v>
      </c>
      <c r="G74" s="1675">
        <f t="shared" si="25"/>
        <v>186322.5</v>
      </c>
    </row>
    <row r="75" spans="2:7" ht="16.25" customHeight="1" x14ac:dyDescent="0.2">
      <c r="B75" s="947" t="s">
        <v>425</v>
      </c>
      <c r="C75" s="1679" t="s">
        <v>408</v>
      </c>
      <c r="D75" s="1705">
        <f t="shared" ref="D75:D77" si="27">E208</f>
        <v>1</v>
      </c>
      <c r="E75" s="1697">
        <f t="shared" ref="E75" si="28">E183</f>
        <v>100000</v>
      </c>
      <c r="F75" s="1674">
        <f t="shared" si="18"/>
        <v>30000</v>
      </c>
      <c r="G75" s="1675">
        <f t="shared" si="25"/>
        <v>130000</v>
      </c>
    </row>
    <row r="76" spans="2:7" ht="16.25" customHeight="1" x14ac:dyDescent="0.2">
      <c r="B76" s="1678" t="s">
        <v>426</v>
      </c>
      <c r="C76" s="1679" t="s">
        <v>427</v>
      </c>
      <c r="D76" s="1705">
        <f t="shared" si="27"/>
        <v>1</v>
      </c>
      <c r="E76" s="1697" t="e">
        <f ca="1">E184</f>
        <v>#NAME?</v>
      </c>
      <c r="F76" s="1674">
        <v>0</v>
      </c>
      <c r="G76" s="1675" t="e">
        <f t="shared" ca="1" si="25"/>
        <v>#NAME?</v>
      </c>
    </row>
    <row r="77" spans="2:7" ht="16.25" customHeight="1" x14ac:dyDescent="0.2">
      <c r="B77" s="1678" t="s">
        <v>428</v>
      </c>
      <c r="C77" s="1679" t="s">
        <v>408</v>
      </c>
      <c r="D77" s="1705">
        <f t="shared" si="27"/>
        <v>0</v>
      </c>
      <c r="E77" s="1697">
        <f>E185</f>
        <v>0</v>
      </c>
      <c r="F77" s="1674">
        <f>ACV!O9*$C$217*D77</f>
        <v>0</v>
      </c>
      <c r="G77" s="1675">
        <f t="shared" si="25"/>
        <v>0</v>
      </c>
    </row>
    <row r="78" spans="2:7" ht="16.25" customHeight="1" x14ac:dyDescent="0.2">
      <c r="B78" s="1689" t="s">
        <v>429</v>
      </c>
      <c r="C78" s="1570" t="s">
        <v>408</v>
      </c>
      <c r="D78" s="1706">
        <f>E211</f>
        <v>1</v>
      </c>
      <c r="E78" s="1707">
        <f>E186</f>
        <v>58320.000000000007</v>
      </c>
      <c r="F78" s="1683">
        <f>IF(C78="Contract",0,E78*$C$217)</f>
        <v>17496</v>
      </c>
      <c r="G78" s="1684">
        <f t="shared" si="25"/>
        <v>75816</v>
      </c>
    </row>
    <row r="79" spans="2:7" ht="16.25" customHeight="1" x14ac:dyDescent="0.2">
      <c r="B79" s="1379" t="s">
        <v>430</v>
      </c>
      <c r="C79" s="791"/>
      <c r="D79" s="1217"/>
      <c r="E79" s="1708"/>
      <c r="F79" s="1685"/>
      <c r="G79" s="1686" t="e">
        <f ca="1">SUM(G60:G78)</f>
        <v>#NAME?</v>
      </c>
    </row>
    <row r="80" spans="2:7" ht="16.25" customHeight="1" x14ac:dyDescent="0.2">
      <c r="B80" s="891" t="s">
        <v>431</v>
      </c>
      <c r="C80" s="1390"/>
      <c r="D80" s="1709"/>
      <c r="E80" s="1710"/>
      <c r="F80" s="1687"/>
      <c r="G80" s="1688" t="e">
        <f ca="1">G68</f>
        <v>#NAME?</v>
      </c>
    </row>
    <row r="81" spans="2:17" ht="16.25" customHeight="1" x14ac:dyDescent="0.2">
      <c r="B81" s="899" t="s">
        <v>432</v>
      </c>
      <c r="C81" s="791"/>
      <c r="D81" s="1217"/>
      <c r="E81" s="1708"/>
      <c r="F81" s="1685"/>
      <c r="G81" s="1686" t="e">
        <f ca="1">G78+G69</f>
        <v>#NAME?</v>
      </c>
    </row>
    <row r="82" spans="2:17" ht="16.25" customHeight="1" x14ac:dyDescent="0.2">
      <c r="B82" s="1689" t="s">
        <v>433</v>
      </c>
      <c r="C82" s="914"/>
      <c r="D82" s="1500"/>
      <c r="E82" s="1711"/>
      <c r="F82" s="1700"/>
      <c r="G82" s="1701" t="e">
        <f ca="1">SUM(G60:G67)+SUM(G70:G77)</f>
        <v>#NAME?</v>
      </c>
    </row>
    <row r="83" spans="2:17" ht="16.25" customHeight="1" x14ac:dyDescent="0.2">
      <c r="B83" s="791"/>
      <c r="C83" s="791"/>
      <c r="D83" s="1217"/>
      <c r="E83" s="1708"/>
      <c r="F83" s="1685"/>
      <c r="G83" s="1685"/>
    </row>
    <row r="84" spans="2:17" s="1690" customFormat="1" ht="8.25" customHeight="1" x14ac:dyDescent="0.2">
      <c r="Q84" s="1691"/>
    </row>
    <row r="85" spans="2:17" ht="16.5" customHeight="1" x14ac:dyDescent="0.2"/>
    <row r="86" spans="2:17" ht="16.25" customHeight="1" x14ac:dyDescent="0.2">
      <c r="B86" s="2890" t="s">
        <v>436</v>
      </c>
      <c r="C86" s="2891"/>
      <c r="D86" s="2891"/>
      <c r="E86" s="2891"/>
      <c r="F86" s="2891"/>
      <c r="G86" s="2892"/>
    </row>
    <row r="87" spans="2:17" ht="32" x14ac:dyDescent="0.2">
      <c r="B87" s="1702" t="s">
        <v>401</v>
      </c>
      <c r="C87" s="1703" t="s">
        <v>402</v>
      </c>
      <c r="D87" s="1703" t="s">
        <v>403</v>
      </c>
      <c r="E87" s="1703" t="s">
        <v>408</v>
      </c>
      <c r="F87" s="1703" t="s">
        <v>405</v>
      </c>
      <c r="G87" s="1704" t="s">
        <v>406</v>
      </c>
    </row>
    <row r="88" spans="2:17" ht="16.25" customHeight="1" x14ac:dyDescent="0.2">
      <c r="B88" s="899" t="s">
        <v>407</v>
      </c>
      <c r="C88" s="786" t="s">
        <v>408</v>
      </c>
      <c r="D88" s="1504">
        <f>F194</f>
        <v>1</v>
      </c>
      <c r="E88" s="1697">
        <f>F169</f>
        <v>186340.00000000003</v>
      </c>
      <c r="F88" s="1674">
        <f>IF(C88="Contract",0,E88*$C$217)</f>
        <v>55902.000000000007</v>
      </c>
      <c r="G88" s="1675">
        <f>D88*(E88+F88)</f>
        <v>242242.00000000003</v>
      </c>
    </row>
    <row r="89" spans="2:17" ht="16.25" customHeight="1" x14ac:dyDescent="0.2">
      <c r="B89" s="899" t="s">
        <v>409</v>
      </c>
      <c r="C89" s="786" t="s">
        <v>408</v>
      </c>
      <c r="D89" s="1504">
        <f>F195</f>
        <v>1</v>
      </c>
      <c r="E89" s="1697">
        <f>F170</f>
        <v>159720</v>
      </c>
      <c r="F89" s="1674">
        <f t="shared" ref="F89:F106" si="29">IF(C89="Contract",0,E89*$C$217)</f>
        <v>47916</v>
      </c>
      <c r="G89" s="1675">
        <f>D89*(E89+F89)</f>
        <v>207636</v>
      </c>
    </row>
    <row r="90" spans="2:17" ht="16.25" customHeight="1" x14ac:dyDescent="0.2">
      <c r="B90" s="899" t="s">
        <v>410</v>
      </c>
      <c r="C90" s="786" t="s">
        <v>408</v>
      </c>
      <c r="D90" s="1504">
        <f>F196</f>
        <v>1</v>
      </c>
      <c r="E90" s="1697">
        <f>F171</f>
        <v>133100.00000000003</v>
      </c>
      <c r="F90" s="1674">
        <f t="shared" si="29"/>
        <v>39930.000000000007</v>
      </c>
      <c r="G90" s="1675">
        <f t="shared" ref="G90:G91" si="30">D90*(E90+F90)</f>
        <v>173030.00000000003</v>
      </c>
    </row>
    <row r="91" spans="2:17" ht="16.25" customHeight="1" x14ac:dyDescent="0.2">
      <c r="B91" s="899" t="s">
        <v>411</v>
      </c>
      <c r="C91" s="786" t="s">
        <v>408</v>
      </c>
      <c r="D91" s="1504">
        <f>F197</f>
        <v>1</v>
      </c>
      <c r="E91" s="1697">
        <f>F172</f>
        <v>133100.00000000003</v>
      </c>
      <c r="F91" s="1674">
        <f t="shared" si="29"/>
        <v>39930.000000000007</v>
      </c>
      <c r="G91" s="1675">
        <f t="shared" si="30"/>
        <v>173030.00000000003</v>
      </c>
    </row>
    <row r="92" spans="2:17" ht="16.25" customHeight="1" x14ac:dyDescent="0.2">
      <c r="B92" s="899" t="s">
        <v>412</v>
      </c>
      <c r="C92" s="786" t="s">
        <v>408</v>
      </c>
      <c r="D92" s="1504">
        <f t="shared" ref="D92:D93" si="31">F198</f>
        <v>0</v>
      </c>
      <c r="E92" s="1697">
        <f t="shared" ref="E92:E95" si="32">F173</f>
        <v>0</v>
      </c>
      <c r="F92" s="1674">
        <f t="shared" si="29"/>
        <v>0</v>
      </c>
      <c r="G92" s="1675">
        <f t="shared" ref="G92:G95" si="33">D92*(E92+F92)</f>
        <v>0</v>
      </c>
    </row>
    <row r="93" spans="2:17" ht="16.25" customHeight="1" x14ac:dyDescent="0.2">
      <c r="B93" s="899" t="s">
        <v>413</v>
      </c>
      <c r="C93" s="786" t="s">
        <v>408</v>
      </c>
      <c r="D93" s="1504">
        <f t="shared" si="31"/>
        <v>2</v>
      </c>
      <c r="E93" s="1697">
        <f t="shared" si="32"/>
        <v>65170.850400000003</v>
      </c>
      <c r="F93" s="1674">
        <f t="shared" si="29"/>
        <v>19551.255120000002</v>
      </c>
      <c r="G93" s="1675">
        <f t="shared" si="33"/>
        <v>169444.21104000002</v>
      </c>
    </row>
    <row r="94" spans="2:17" ht="16.25" customHeight="1" x14ac:dyDescent="0.2">
      <c r="B94" s="899" t="s">
        <v>414</v>
      </c>
      <c r="C94" s="786" t="s">
        <v>408</v>
      </c>
      <c r="D94" s="1504">
        <f>F199</f>
        <v>2</v>
      </c>
      <c r="E94" s="1697">
        <f>F174</f>
        <v>65170.850400000003</v>
      </c>
      <c r="F94" s="1674">
        <f t="shared" si="29"/>
        <v>19551.255120000002</v>
      </c>
      <c r="G94" s="1675">
        <f t="shared" si="33"/>
        <v>169444.21104000002</v>
      </c>
    </row>
    <row r="95" spans="2:17" ht="16.25" customHeight="1" x14ac:dyDescent="0.2">
      <c r="B95" s="947" t="s">
        <v>415</v>
      </c>
      <c r="C95" s="1679" t="s">
        <v>416</v>
      </c>
      <c r="D95" s="1504">
        <f t="shared" ref="D95:D105" si="34">F200</f>
        <v>1</v>
      </c>
      <c r="E95" s="1697">
        <f t="shared" si="32"/>
        <v>17046.989440000001</v>
      </c>
      <c r="F95" s="1674">
        <f t="shared" si="29"/>
        <v>5114.0968320000002</v>
      </c>
      <c r="G95" s="1675">
        <f t="shared" si="33"/>
        <v>22161.086272</v>
      </c>
    </row>
    <row r="96" spans="2:17" ht="16.25" customHeight="1" x14ac:dyDescent="0.2">
      <c r="B96" s="947" t="s">
        <v>417</v>
      </c>
      <c r="C96" s="1679" t="s">
        <v>416</v>
      </c>
      <c r="D96" s="1504" t="e">
        <f t="shared" ca="1" si="34"/>
        <v>#NAME?</v>
      </c>
      <c r="E96" s="1697">
        <f t="shared" ref="E96:E103" si="35">F176</f>
        <v>17046.989440000001</v>
      </c>
      <c r="F96" s="1674">
        <f t="shared" si="29"/>
        <v>5114.0968320000002</v>
      </c>
      <c r="G96" s="1675" t="e">
        <f t="shared" ref="G96:G106" ca="1" si="36">D96*(E96+F96)</f>
        <v>#NAME?</v>
      </c>
    </row>
    <row r="97" spans="2:17" ht="16.25" customHeight="1" x14ac:dyDescent="0.2">
      <c r="B97" s="947" t="s">
        <v>418</v>
      </c>
      <c r="C97" s="1679" t="s">
        <v>416</v>
      </c>
      <c r="D97" s="1712" t="e">
        <f t="shared" ca="1" si="34"/>
        <v>#NAME?</v>
      </c>
      <c r="E97" s="1697" t="e">
        <f t="shared" ca="1" si="35"/>
        <v>#NAME?</v>
      </c>
      <c r="F97" s="1674" t="e">
        <f t="shared" ca="1" si="29"/>
        <v>#NAME?</v>
      </c>
      <c r="G97" s="1675" t="e">
        <f t="shared" ca="1" si="36"/>
        <v>#NAME?</v>
      </c>
    </row>
    <row r="98" spans="2:17" ht="16.25" customHeight="1" x14ac:dyDescent="0.2">
      <c r="B98" s="947" t="s">
        <v>419</v>
      </c>
      <c r="C98" s="1679" t="str">
        <f>C70</f>
        <v>Contract</v>
      </c>
      <c r="D98" s="1504">
        <f t="shared" si="34"/>
        <v>1</v>
      </c>
      <c r="E98" s="1697">
        <f t="shared" si="35"/>
        <v>33145.181590408472</v>
      </c>
      <c r="F98" s="1674">
        <f t="shared" si="29"/>
        <v>0</v>
      </c>
      <c r="G98" s="1675">
        <f t="shared" si="36"/>
        <v>33145.181590408472</v>
      </c>
    </row>
    <row r="99" spans="2:17" ht="16.25" customHeight="1" x14ac:dyDescent="0.2">
      <c r="B99" s="899" t="s">
        <v>421</v>
      </c>
      <c r="C99" s="1679" t="s">
        <v>408</v>
      </c>
      <c r="D99" s="1504">
        <f t="shared" si="34"/>
        <v>1</v>
      </c>
      <c r="E99" s="1697">
        <f t="shared" si="35"/>
        <v>39370.239999999998</v>
      </c>
      <c r="F99" s="1674">
        <f t="shared" si="29"/>
        <v>11811.071999999998</v>
      </c>
      <c r="G99" s="1675">
        <f t="shared" si="36"/>
        <v>51181.311999999998</v>
      </c>
    </row>
    <row r="100" spans="2:17" ht="16.25" customHeight="1" x14ac:dyDescent="0.2">
      <c r="B100" s="947" t="s">
        <v>422</v>
      </c>
      <c r="C100" s="1679" t="s">
        <v>420</v>
      </c>
      <c r="D100" s="1504">
        <f t="shared" si="34"/>
        <v>1</v>
      </c>
      <c r="E100" s="1697">
        <f t="shared" si="35"/>
        <v>13196.926874975999</v>
      </c>
      <c r="F100" s="1674">
        <f t="shared" si="29"/>
        <v>0</v>
      </c>
      <c r="G100" s="1675">
        <f t="shared" si="36"/>
        <v>13196.926874975999</v>
      </c>
    </row>
    <row r="101" spans="2:17" ht="16.25" customHeight="1" x14ac:dyDescent="0.2">
      <c r="B101" s="947" t="s">
        <v>423</v>
      </c>
      <c r="C101" s="1679" t="str">
        <f>C73</f>
        <v>Contract</v>
      </c>
      <c r="D101" s="1504">
        <f t="shared" si="34"/>
        <v>2</v>
      </c>
      <c r="E101" s="1697">
        <f t="shared" si="35"/>
        <v>41101.828752112749</v>
      </c>
      <c r="F101" s="1674">
        <f t="shared" si="29"/>
        <v>0</v>
      </c>
      <c r="G101" s="1675">
        <f t="shared" si="36"/>
        <v>82203.657504225499</v>
      </c>
    </row>
    <row r="102" spans="2:17" ht="16.25" customHeight="1" x14ac:dyDescent="0.2">
      <c r="B102" s="947" t="s">
        <v>424</v>
      </c>
      <c r="C102" s="1679" t="s">
        <v>408</v>
      </c>
      <c r="D102" s="1504">
        <f t="shared" si="34"/>
        <v>2</v>
      </c>
      <c r="E102" s="1697">
        <f t="shared" si="35"/>
        <v>75245.625</v>
      </c>
      <c r="F102" s="1674">
        <f t="shared" si="29"/>
        <v>22573.6875</v>
      </c>
      <c r="G102" s="1675">
        <f t="shared" si="36"/>
        <v>195638.625</v>
      </c>
    </row>
    <row r="103" spans="2:17" ht="16.25" customHeight="1" x14ac:dyDescent="0.2">
      <c r="B103" s="947" t="s">
        <v>425</v>
      </c>
      <c r="C103" s="1679" t="s">
        <v>408</v>
      </c>
      <c r="D103" s="1504">
        <f t="shared" si="34"/>
        <v>1</v>
      </c>
      <c r="E103" s="1697">
        <f t="shared" si="35"/>
        <v>108000</v>
      </c>
      <c r="F103" s="1674">
        <f t="shared" si="29"/>
        <v>32400</v>
      </c>
      <c r="G103" s="1675">
        <f t="shared" si="36"/>
        <v>140400</v>
      </c>
    </row>
    <row r="104" spans="2:17" ht="16.25" customHeight="1" x14ac:dyDescent="0.2">
      <c r="B104" s="1678" t="s">
        <v>426</v>
      </c>
      <c r="C104" s="1679" t="s">
        <v>427</v>
      </c>
      <c r="D104" s="1504">
        <f t="shared" si="34"/>
        <v>1</v>
      </c>
      <c r="E104" s="1697" t="e">
        <f ca="1">F184</f>
        <v>#NAME?</v>
      </c>
      <c r="F104" s="1674">
        <v>0</v>
      </c>
      <c r="G104" s="1675" t="e">
        <f t="shared" ca="1" si="36"/>
        <v>#NAME?</v>
      </c>
    </row>
    <row r="105" spans="2:17" ht="16.25" customHeight="1" x14ac:dyDescent="0.2">
      <c r="B105" s="1678" t="s">
        <v>428</v>
      </c>
      <c r="C105" s="1679" t="s">
        <v>408</v>
      </c>
      <c r="D105" s="1504">
        <f t="shared" si="34"/>
        <v>1</v>
      </c>
      <c r="E105" s="1697" t="e">
        <f ca="1">F185</f>
        <v>#NAME?</v>
      </c>
      <c r="F105" s="1674">
        <f>ACV!O11*$C$217*D105</f>
        <v>22500</v>
      </c>
      <c r="G105" s="1675" t="e">
        <f t="shared" ca="1" si="36"/>
        <v>#NAME?</v>
      </c>
    </row>
    <row r="106" spans="2:17" ht="16.25" customHeight="1" x14ac:dyDescent="0.2">
      <c r="B106" s="1689" t="s">
        <v>429</v>
      </c>
      <c r="C106" s="1570" t="s">
        <v>408</v>
      </c>
      <c r="D106" s="1505">
        <f>F211</f>
        <v>2</v>
      </c>
      <c r="E106" s="1707">
        <f>F186</f>
        <v>62985.600000000013</v>
      </c>
      <c r="F106" s="1683">
        <f t="shared" si="29"/>
        <v>18895.680000000004</v>
      </c>
      <c r="G106" s="1684">
        <f t="shared" si="36"/>
        <v>163762.56000000003</v>
      </c>
    </row>
    <row r="107" spans="2:17" ht="16.25" customHeight="1" x14ac:dyDescent="0.2">
      <c r="B107" s="1713" t="s">
        <v>430</v>
      </c>
      <c r="C107" s="791"/>
      <c r="D107" s="1217"/>
      <c r="E107" s="1708"/>
      <c r="F107" s="1685"/>
      <c r="G107" s="1714" t="e">
        <f ca="1">SUM(G88:G106)</f>
        <v>#NAME?</v>
      </c>
    </row>
    <row r="108" spans="2:17" ht="16.25" customHeight="1" x14ac:dyDescent="0.2">
      <c r="B108" s="891" t="s">
        <v>431</v>
      </c>
      <c r="C108" s="1390"/>
      <c r="D108" s="1709"/>
      <c r="E108" s="1710"/>
      <c r="F108" s="1687"/>
      <c r="G108" s="1688" t="e">
        <f ca="1">G96</f>
        <v>#NAME?</v>
      </c>
    </row>
    <row r="109" spans="2:17" ht="16.25" customHeight="1" x14ac:dyDescent="0.2">
      <c r="B109" s="899" t="s">
        <v>432</v>
      </c>
      <c r="C109" s="791"/>
      <c r="D109" s="1217"/>
      <c r="E109" s="1708"/>
      <c r="F109" s="1685"/>
      <c r="G109" s="1686" t="e">
        <f ca="1">G106+G97</f>
        <v>#NAME?</v>
      </c>
    </row>
    <row r="110" spans="2:17" ht="16.25" customHeight="1" x14ac:dyDescent="0.2">
      <c r="B110" s="1689" t="s">
        <v>433</v>
      </c>
      <c r="C110" s="914"/>
      <c r="D110" s="1500"/>
      <c r="E110" s="1711"/>
      <c r="F110" s="1700"/>
      <c r="G110" s="1701" t="e">
        <f ca="1">SUM(G88:G95)+SUM(G98:G105)</f>
        <v>#NAME?</v>
      </c>
    </row>
    <row r="111" spans="2:17" ht="16.25" customHeight="1" x14ac:dyDescent="0.2">
      <c r="B111" s="791"/>
      <c r="C111" s="791"/>
      <c r="D111" s="1217"/>
      <c r="E111" s="1708"/>
      <c r="F111" s="1685"/>
      <c r="G111" s="1685"/>
    </row>
    <row r="112" spans="2:17" s="1690" customFormat="1" ht="8.25" customHeight="1" x14ac:dyDescent="0.2">
      <c r="Q112" s="1691"/>
    </row>
    <row r="113" spans="2:7" ht="18" customHeight="1" x14ac:dyDescent="0.2"/>
    <row r="114" spans="2:7" ht="16.25" customHeight="1" x14ac:dyDescent="0.2">
      <c r="B114" s="2896" t="s">
        <v>437</v>
      </c>
      <c r="C114" s="2897"/>
      <c r="D114" s="2897"/>
      <c r="E114" s="2897"/>
      <c r="F114" s="2897"/>
      <c r="G114" s="2898"/>
    </row>
    <row r="115" spans="2:7" ht="32" x14ac:dyDescent="0.2">
      <c r="B115" s="1702" t="s">
        <v>401</v>
      </c>
      <c r="C115" s="1703" t="s">
        <v>402</v>
      </c>
      <c r="D115" s="1703" t="s">
        <v>403</v>
      </c>
      <c r="E115" s="1703" t="s">
        <v>408</v>
      </c>
      <c r="F115" s="1703" t="s">
        <v>405</v>
      </c>
      <c r="G115" s="1704" t="s">
        <v>406</v>
      </c>
    </row>
    <row r="116" spans="2:7" ht="16.25" customHeight="1" x14ac:dyDescent="0.2">
      <c r="B116" s="899" t="s">
        <v>407</v>
      </c>
      <c r="C116" s="786" t="s">
        <v>408</v>
      </c>
      <c r="D116" s="1504">
        <f>G194</f>
        <v>1</v>
      </c>
      <c r="E116" s="1697">
        <f>G169</f>
        <v>204974.00000000006</v>
      </c>
      <c r="F116" s="1674">
        <f>IF(C116="Contract",0,E116*$C$217)</f>
        <v>61492.200000000012</v>
      </c>
      <c r="G116" s="1675">
        <f>D116*(E116+F116)</f>
        <v>266466.20000000007</v>
      </c>
    </row>
    <row r="117" spans="2:7" ht="16.25" customHeight="1" x14ac:dyDescent="0.2">
      <c r="B117" s="899" t="s">
        <v>409</v>
      </c>
      <c r="C117" s="786" t="s">
        <v>408</v>
      </c>
      <c r="D117" s="1504">
        <f>G195</f>
        <v>1</v>
      </c>
      <c r="E117" s="1697">
        <f>G170</f>
        <v>175692</v>
      </c>
      <c r="F117" s="1674">
        <f t="shared" ref="F117:F134" si="37">IF(C117="Contract",0,E117*$C$217)</f>
        <v>52707.6</v>
      </c>
      <c r="G117" s="1675">
        <f>D117*(E117+F117)</f>
        <v>228399.6</v>
      </c>
    </row>
    <row r="118" spans="2:7" ht="16.25" customHeight="1" x14ac:dyDescent="0.2">
      <c r="B118" s="899" t="s">
        <v>410</v>
      </c>
      <c r="C118" s="786" t="s">
        <v>408</v>
      </c>
      <c r="D118" s="1504">
        <f>G196</f>
        <v>1</v>
      </c>
      <c r="E118" s="1697">
        <f>G171</f>
        <v>146410.00000000006</v>
      </c>
      <c r="F118" s="1674">
        <f t="shared" si="37"/>
        <v>43923.000000000015</v>
      </c>
      <c r="G118" s="1675">
        <f t="shared" ref="G118:G119" si="38">D118*(E118+F118)</f>
        <v>190333.00000000006</v>
      </c>
    </row>
    <row r="119" spans="2:7" ht="16.25" customHeight="1" x14ac:dyDescent="0.2">
      <c r="B119" s="899" t="s">
        <v>411</v>
      </c>
      <c r="C119" s="786" t="s">
        <v>408</v>
      </c>
      <c r="D119" s="1504">
        <f>G197</f>
        <v>1</v>
      </c>
      <c r="E119" s="1697">
        <f>G172</f>
        <v>146410.00000000006</v>
      </c>
      <c r="F119" s="1674">
        <f t="shared" si="37"/>
        <v>43923.000000000015</v>
      </c>
      <c r="G119" s="1675">
        <f t="shared" si="38"/>
        <v>190333.00000000006</v>
      </c>
    </row>
    <row r="120" spans="2:7" ht="16.25" customHeight="1" x14ac:dyDescent="0.2">
      <c r="B120" s="899" t="s">
        <v>412</v>
      </c>
      <c r="C120" s="786" t="s">
        <v>408</v>
      </c>
      <c r="D120" s="1504">
        <f t="shared" ref="D120:D121" si="39">G198</f>
        <v>1</v>
      </c>
      <c r="E120" s="1697">
        <f t="shared" ref="E120:E121" si="40">G173</f>
        <v>95000</v>
      </c>
      <c r="F120" s="1674">
        <f t="shared" si="37"/>
        <v>28500</v>
      </c>
      <c r="G120" s="1675">
        <f t="shared" ref="G120:G121" si="41">D120*(E120+F120)</f>
        <v>123500</v>
      </c>
    </row>
    <row r="121" spans="2:7" ht="16.25" customHeight="1" x14ac:dyDescent="0.2">
      <c r="B121" s="899" t="s">
        <v>413</v>
      </c>
      <c r="C121" s="786" t="s">
        <v>408</v>
      </c>
      <c r="D121" s="1504">
        <f t="shared" si="39"/>
        <v>3</v>
      </c>
      <c r="E121" s="1697">
        <f t="shared" si="40"/>
        <v>67921.060286880005</v>
      </c>
      <c r="F121" s="1674">
        <f t="shared" si="37"/>
        <v>20376.318086064002</v>
      </c>
      <c r="G121" s="1675">
        <f t="shared" si="41"/>
        <v>264892.135118832</v>
      </c>
    </row>
    <row r="122" spans="2:7" ht="16.25" customHeight="1" x14ac:dyDescent="0.2">
      <c r="B122" s="899" t="s">
        <v>414</v>
      </c>
      <c r="C122" s="786" t="s">
        <v>408</v>
      </c>
      <c r="D122" s="1504">
        <f t="shared" ref="D122:D133" si="42">G199</f>
        <v>3</v>
      </c>
      <c r="E122" s="1697">
        <f t="shared" ref="E122:E131" si="43">G174</f>
        <v>67921.060286880005</v>
      </c>
      <c r="F122" s="1674">
        <f t="shared" si="37"/>
        <v>20376.318086064002</v>
      </c>
      <c r="G122" s="1675">
        <f>D122*(E122+F122)</f>
        <v>264892.135118832</v>
      </c>
    </row>
    <row r="123" spans="2:7" ht="16.25" customHeight="1" x14ac:dyDescent="0.2">
      <c r="B123" s="947" t="s">
        <v>415</v>
      </c>
      <c r="C123" s="1679" t="s">
        <v>416</v>
      </c>
      <c r="D123" s="1504">
        <f t="shared" si="42"/>
        <v>1</v>
      </c>
      <c r="E123" s="1697">
        <f t="shared" si="43"/>
        <v>9081.2452802334847</v>
      </c>
      <c r="F123" s="1674">
        <f t="shared" si="37"/>
        <v>2724.3735840700451</v>
      </c>
      <c r="G123" s="1675">
        <f>D123*(E123+F123)</f>
        <v>11805.618864303529</v>
      </c>
    </row>
    <row r="124" spans="2:7" ht="16.25" customHeight="1" x14ac:dyDescent="0.2">
      <c r="B124" s="947" t="s">
        <v>417</v>
      </c>
      <c r="C124" s="1679" t="s">
        <v>416</v>
      </c>
      <c r="D124" s="1504" t="e">
        <f t="shared" ca="1" si="42"/>
        <v>#NAME?</v>
      </c>
      <c r="E124" s="1697">
        <f t="shared" si="43"/>
        <v>17595.902499968</v>
      </c>
      <c r="F124" s="1674">
        <f t="shared" si="37"/>
        <v>5278.7707499904</v>
      </c>
      <c r="G124" s="1675" t="e">
        <f t="shared" ref="G124:G134" ca="1" si="44">D124*(E124+F124)</f>
        <v>#NAME?</v>
      </c>
    </row>
    <row r="125" spans="2:7" ht="16.25" customHeight="1" x14ac:dyDescent="0.2">
      <c r="B125" s="947" t="s">
        <v>418</v>
      </c>
      <c r="C125" s="1679" t="s">
        <v>416</v>
      </c>
      <c r="D125" s="1712" t="e">
        <f t="shared" ca="1" si="42"/>
        <v>#NAME?</v>
      </c>
      <c r="E125" s="1697" t="e">
        <f t="shared" ca="1" si="43"/>
        <v>#NAME?</v>
      </c>
      <c r="F125" s="1674" t="e">
        <f t="shared" ca="1" si="37"/>
        <v>#NAME?</v>
      </c>
      <c r="G125" s="1675" t="e">
        <f t="shared" ca="1" si="44"/>
        <v>#NAME?</v>
      </c>
    </row>
    <row r="126" spans="2:7" ht="16.25" customHeight="1" x14ac:dyDescent="0.2">
      <c r="B126" s="947" t="s">
        <v>419</v>
      </c>
      <c r="C126" s="1679" t="str">
        <f>C70</f>
        <v>Contract</v>
      </c>
      <c r="D126" s="1504">
        <f t="shared" si="42"/>
        <v>1</v>
      </c>
      <c r="E126" s="1697">
        <f t="shared" si="43"/>
        <v>34212.456437619629</v>
      </c>
      <c r="F126" s="1674">
        <f t="shared" si="37"/>
        <v>0</v>
      </c>
      <c r="G126" s="1675">
        <f t="shared" si="44"/>
        <v>34212.456437619629</v>
      </c>
    </row>
    <row r="127" spans="2:7" ht="16.25" customHeight="1" x14ac:dyDescent="0.2">
      <c r="B127" s="899" t="s">
        <v>421</v>
      </c>
      <c r="C127" s="1679" t="s">
        <v>408</v>
      </c>
      <c r="D127" s="1504">
        <f t="shared" si="42"/>
        <v>1</v>
      </c>
      <c r="E127" s="1697">
        <f t="shared" si="43"/>
        <v>40945.049599999998</v>
      </c>
      <c r="F127" s="1674">
        <f t="shared" si="37"/>
        <v>12283.514879999999</v>
      </c>
      <c r="G127" s="1675">
        <f t="shared" si="44"/>
        <v>53228.564480000001</v>
      </c>
    </row>
    <row r="128" spans="2:7" ht="16.25" customHeight="1" x14ac:dyDescent="0.2">
      <c r="B128" s="947" t="s">
        <v>422</v>
      </c>
      <c r="C128" s="1679" t="s">
        <v>420</v>
      </c>
      <c r="D128" s="1504">
        <f t="shared" si="42"/>
        <v>1</v>
      </c>
      <c r="E128" s="1697">
        <f t="shared" si="43"/>
        <v>13621.867920350227</v>
      </c>
      <c r="F128" s="1674">
        <f t="shared" si="37"/>
        <v>0</v>
      </c>
      <c r="G128" s="1675">
        <f t="shared" si="44"/>
        <v>13621.867920350227</v>
      </c>
    </row>
    <row r="129" spans="2:17" ht="16.25" customHeight="1" x14ac:dyDescent="0.2">
      <c r="B129" s="947" t="s">
        <v>423</v>
      </c>
      <c r="C129" s="1679" t="str">
        <f>C73</f>
        <v>Contract</v>
      </c>
      <c r="D129" s="1504">
        <f t="shared" si="42"/>
        <v>2</v>
      </c>
      <c r="E129" s="1697">
        <f t="shared" si="43"/>
        <v>42425.307637930782</v>
      </c>
      <c r="F129" s="1674">
        <f t="shared" si="37"/>
        <v>0</v>
      </c>
      <c r="G129" s="1675">
        <f t="shared" si="44"/>
        <v>84850.615275861564</v>
      </c>
    </row>
    <row r="130" spans="2:17" ht="16.25" customHeight="1" x14ac:dyDescent="0.2">
      <c r="B130" s="947" t="s">
        <v>424</v>
      </c>
      <c r="C130" s="1679" t="s">
        <v>408</v>
      </c>
      <c r="D130" s="1504">
        <f t="shared" si="42"/>
        <v>2</v>
      </c>
      <c r="E130" s="1697">
        <f t="shared" si="43"/>
        <v>79007.90625</v>
      </c>
      <c r="F130" s="1674">
        <f t="shared" si="37"/>
        <v>23702.371875000001</v>
      </c>
      <c r="G130" s="1675">
        <f t="shared" si="44"/>
        <v>205420.55624999999</v>
      </c>
    </row>
    <row r="131" spans="2:17" ht="16.25" customHeight="1" x14ac:dyDescent="0.2">
      <c r="B131" s="947" t="s">
        <v>425</v>
      </c>
      <c r="C131" s="1679" t="s">
        <v>408</v>
      </c>
      <c r="D131" s="1504">
        <f t="shared" si="42"/>
        <v>2</v>
      </c>
      <c r="E131" s="1697">
        <f t="shared" si="43"/>
        <v>116640.00000000001</v>
      </c>
      <c r="F131" s="1674">
        <f t="shared" si="37"/>
        <v>34992</v>
      </c>
      <c r="G131" s="1675">
        <f t="shared" si="44"/>
        <v>303264</v>
      </c>
    </row>
    <row r="132" spans="2:17" ht="16.25" customHeight="1" x14ac:dyDescent="0.2">
      <c r="B132" s="1678" t="s">
        <v>426</v>
      </c>
      <c r="C132" s="1679" t="s">
        <v>427</v>
      </c>
      <c r="D132" s="1504">
        <f t="shared" si="42"/>
        <v>1</v>
      </c>
      <c r="E132" s="1697" t="e">
        <f ca="1">G184</f>
        <v>#NAME?</v>
      </c>
      <c r="F132" s="1674">
        <v>0</v>
      </c>
      <c r="G132" s="1675" t="e">
        <f t="shared" ca="1" si="44"/>
        <v>#NAME?</v>
      </c>
    </row>
    <row r="133" spans="2:17" ht="16.25" customHeight="1" x14ac:dyDescent="0.2">
      <c r="B133" s="1678" t="s">
        <v>428</v>
      </c>
      <c r="C133" s="1679" t="s">
        <v>408</v>
      </c>
      <c r="D133" s="1504">
        <f t="shared" si="42"/>
        <v>1</v>
      </c>
      <c r="E133" s="1697" t="e">
        <f ca="1">G185</f>
        <v>#NAME?</v>
      </c>
      <c r="F133" s="1674">
        <f>ACV!O13*$C$217*D133</f>
        <v>24300</v>
      </c>
      <c r="G133" s="1675" t="e">
        <f t="shared" ca="1" si="44"/>
        <v>#NAME?</v>
      </c>
    </row>
    <row r="134" spans="2:17" ht="16.25" customHeight="1" x14ac:dyDescent="0.2">
      <c r="B134" s="899" t="s">
        <v>429</v>
      </c>
      <c r="C134" s="786" t="s">
        <v>408</v>
      </c>
      <c r="D134" s="1504">
        <f>G211</f>
        <v>2</v>
      </c>
      <c r="E134" s="1697">
        <f>G186</f>
        <v>68024.448000000019</v>
      </c>
      <c r="F134" s="1674">
        <f t="shared" si="37"/>
        <v>20407.334400000003</v>
      </c>
      <c r="G134" s="1675">
        <f t="shared" si="44"/>
        <v>176863.56480000005</v>
      </c>
    </row>
    <row r="135" spans="2:17" ht="16.25" customHeight="1" x14ac:dyDescent="0.2">
      <c r="B135" s="1117" t="s">
        <v>430</v>
      </c>
      <c r="C135" s="890"/>
      <c r="D135" s="1588"/>
      <c r="E135" s="1715"/>
      <c r="F135" s="1698"/>
      <c r="G135" s="1699" t="e">
        <f ca="1">SUM(G116:G134)</f>
        <v>#NAME?</v>
      </c>
    </row>
    <row r="136" spans="2:17" ht="16.25" customHeight="1" x14ac:dyDescent="0.2">
      <c r="B136" s="899" t="s">
        <v>431</v>
      </c>
      <c r="C136" s="791"/>
      <c r="D136" s="1217"/>
      <c r="E136" s="1708"/>
      <c r="F136" s="1685"/>
      <c r="G136" s="1686" t="e">
        <f ca="1">G124</f>
        <v>#NAME?</v>
      </c>
    </row>
    <row r="137" spans="2:17" ht="16.25" customHeight="1" x14ac:dyDescent="0.2">
      <c r="B137" s="899" t="s">
        <v>432</v>
      </c>
      <c r="C137" s="791"/>
      <c r="D137" s="1217"/>
      <c r="E137" s="1708"/>
      <c r="F137" s="1685"/>
      <c r="G137" s="1686" t="e">
        <f ca="1">G134+G125</f>
        <v>#NAME?</v>
      </c>
    </row>
    <row r="138" spans="2:17" ht="16.25" customHeight="1" x14ac:dyDescent="0.2">
      <c r="B138" s="1689" t="s">
        <v>433</v>
      </c>
      <c r="C138" s="914"/>
      <c r="D138" s="1500"/>
      <c r="E138" s="1711"/>
      <c r="F138" s="1700"/>
      <c r="G138" s="1701" t="e">
        <f ca="1">SUM(G116:G123)+SUM(G126:G133)</f>
        <v>#NAME?</v>
      </c>
    </row>
    <row r="139" spans="2:17" ht="16.25" customHeight="1" x14ac:dyDescent="0.2">
      <c r="B139" s="791"/>
      <c r="C139" s="791"/>
      <c r="D139" s="1217"/>
      <c r="E139" s="1708"/>
      <c r="F139" s="1685"/>
      <c r="G139" s="1685"/>
    </row>
    <row r="140" spans="2:17" s="1690" customFormat="1" ht="4.5" customHeight="1" x14ac:dyDescent="0.2">
      <c r="Q140" s="1691"/>
    </row>
    <row r="141" spans="2:17" ht="16.25" customHeight="1" x14ac:dyDescent="0.2"/>
    <row r="142" spans="2:17" ht="16.25" customHeight="1" x14ac:dyDescent="0.2">
      <c r="B142" s="2890" t="s">
        <v>438</v>
      </c>
      <c r="C142" s="2891"/>
      <c r="D142" s="2891"/>
      <c r="E142" s="2891"/>
      <c r="F142" s="2891"/>
      <c r="G142" s="2892"/>
    </row>
    <row r="143" spans="2:17" ht="32" x14ac:dyDescent="0.2">
      <c r="B143" s="1702" t="s">
        <v>401</v>
      </c>
      <c r="C143" s="1703" t="s">
        <v>402</v>
      </c>
      <c r="D143" s="1703" t="s">
        <v>403</v>
      </c>
      <c r="E143" s="1703" t="s">
        <v>408</v>
      </c>
      <c r="F143" s="1703" t="s">
        <v>405</v>
      </c>
      <c r="G143" s="1704" t="s">
        <v>406</v>
      </c>
    </row>
    <row r="144" spans="2:17" ht="16.25" customHeight="1" x14ac:dyDescent="0.2">
      <c r="B144" s="899" t="s">
        <v>407</v>
      </c>
      <c r="C144" s="786" t="s">
        <v>408</v>
      </c>
      <c r="D144" s="1504">
        <f>H194</f>
        <v>1</v>
      </c>
      <c r="E144" s="1697">
        <f>H169</f>
        <v>225471.40000000008</v>
      </c>
      <c r="F144" s="1674">
        <f>IF(C144="Contract",0,E144*$C$217)</f>
        <v>67641.420000000027</v>
      </c>
      <c r="G144" s="1675">
        <f>D144*(E144+F144)</f>
        <v>293112.82000000012</v>
      </c>
    </row>
    <row r="145" spans="2:7" ht="16.25" customHeight="1" x14ac:dyDescent="0.2">
      <c r="B145" s="899" t="s">
        <v>409</v>
      </c>
      <c r="C145" s="786" t="s">
        <v>408</v>
      </c>
      <c r="D145" s="1504">
        <f>H195</f>
        <v>1</v>
      </c>
      <c r="E145" s="1697">
        <f>H170</f>
        <v>193261.2</v>
      </c>
      <c r="F145" s="1674">
        <f t="shared" ref="F145:F162" si="45">IF(C145="Contract",0,E145*$C$217)</f>
        <v>57978.36</v>
      </c>
      <c r="G145" s="1675">
        <f>D145*(E145+F145)</f>
        <v>251239.56</v>
      </c>
    </row>
    <row r="146" spans="2:7" ht="16.25" customHeight="1" x14ac:dyDescent="0.2">
      <c r="B146" s="899" t="s">
        <v>410</v>
      </c>
      <c r="C146" s="786" t="s">
        <v>408</v>
      </c>
      <c r="D146" s="1504">
        <f>H196</f>
        <v>1</v>
      </c>
      <c r="E146" s="1697">
        <f>H171</f>
        <v>161051.00000000009</v>
      </c>
      <c r="F146" s="1674">
        <f t="shared" si="45"/>
        <v>48315.300000000025</v>
      </c>
      <c r="G146" s="1675">
        <f t="shared" ref="G146:G147" si="46">D146*(E146+F146)</f>
        <v>209366.3000000001</v>
      </c>
    </row>
    <row r="147" spans="2:7" ht="16.25" customHeight="1" x14ac:dyDescent="0.2">
      <c r="B147" s="899" t="s">
        <v>411</v>
      </c>
      <c r="C147" s="786" t="s">
        <v>408</v>
      </c>
      <c r="D147" s="1504">
        <f>H197</f>
        <v>1</v>
      </c>
      <c r="E147" s="1697">
        <f>H172</f>
        <v>161051.00000000009</v>
      </c>
      <c r="F147" s="1674">
        <f t="shared" si="45"/>
        <v>48315.300000000025</v>
      </c>
      <c r="G147" s="1675">
        <f t="shared" si="46"/>
        <v>209366.3000000001</v>
      </c>
    </row>
    <row r="148" spans="2:7" ht="16.25" customHeight="1" x14ac:dyDescent="0.2">
      <c r="B148" s="899" t="s">
        <v>412</v>
      </c>
      <c r="C148" s="786" t="s">
        <v>408</v>
      </c>
      <c r="D148" s="1504">
        <f t="shared" ref="D148:D149" si="47">H198</f>
        <v>1</v>
      </c>
      <c r="E148" s="1697">
        <f t="shared" ref="E148:E149" si="48">H173</f>
        <v>102600</v>
      </c>
      <c r="F148" s="1674">
        <f t="shared" si="45"/>
        <v>30780</v>
      </c>
      <c r="G148" s="1675">
        <f t="shared" ref="G148:G149" si="49">D148*(E148+F148)</f>
        <v>133380</v>
      </c>
    </row>
    <row r="149" spans="2:7" ht="16.25" customHeight="1" x14ac:dyDescent="0.2">
      <c r="B149" s="899" t="s">
        <v>413</v>
      </c>
      <c r="C149" s="786" t="s">
        <v>408</v>
      </c>
      <c r="D149" s="1504">
        <f t="shared" si="47"/>
        <v>3</v>
      </c>
      <c r="E149" s="1697">
        <f t="shared" si="48"/>
        <v>70787.329030986337</v>
      </c>
      <c r="F149" s="1674">
        <f t="shared" si="45"/>
        <v>21236.198709295899</v>
      </c>
      <c r="G149" s="1675">
        <f t="shared" si="49"/>
        <v>276070.58322084672</v>
      </c>
    </row>
    <row r="150" spans="2:7" ht="16.25" customHeight="1" x14ac:dyDescent="0.2">
      <c r="B150" s="899" t="s">
        <v>414</v>
      </c>
      <c r="C150" s="786" t="s">
        <v>408</v>
      </c>
      <c r="D150" s="1504">
        <f t="shared" ref="D150:D161" si="50">H199</f>
        <v>3</v>
      </c>
      <c r="E150" s="1697">
        <f t="shared" ref="E150:E159" si="51">H174</f>
        <v>70787.329030986337</v>
      </c>
      <c r="F150" s="1674">
        <f t="shared" si="45"/>
        <v>21236.198709295899</v>
      </c>
      <c r="G150" s="1675">
        <f>D150*(E150+F150)</f>
        <v>276070.58322084672</v>
      </c>
    </row>
    <row r="151" spans="2:7" ht="16.25" customHeight="1" x14ac:dyDescent="0.2">
      <c r="B151" s="947" t="s">
        <v>415</v>
      </c>
      <c r="C151" s="1679" t="s">
        <v>416</v>
      </c>
      <c r="D151" s="1504">
        <f t="shared" si="50"/>
        <v>1</v>
      </c>
      <c r="E151" s="1697">
        <f t="shared" si="51"/>
        <v>9373.6613782570021</v>
      </c>
      <c r="F151" s="1674">
        <f t="shared" si="45"/>
        <v>2812.0984134771006</v>
      </c>
      <c r="G151" s="1675">
        <f>D151*(E151+F151)</f>
        <v>12185.759791734103</v>
      </c>
    </row>
    <row r="152" spans="2:7" ht="16.25" customHeight="1" x14ac:dyDescent="0.2">
      <c r="B152" s="947" t="s">
        <v>417</v>
      </c>
      <c r="C152" s="1679" t="s">
        <v>416</v>
      </c>
      <c r="D152" s="1504" t="e">
        <f t="shared" ca="1" si="50"/>
        <v>#NAME?</v>
      </c>
      <c r="E152" s="1697">
        <f t="shared" si="51"/>
        <v>18162.490560466969</v>
      </c>
      <c r="F152" s="1674">
        <f t="shared" si="45"/>
        <v>5448.7471681400903</v>
      </c>
      <c r="G152" s="1675" t="e">
        <f t="shared" ref="G152:G162" ca="1" si="52">D152*(E152+F152)</f>
        <v>#NAME?</v>
      </c>
    </row>
    <row r="153" spans="2:7" ht="16.25" customHeight="1" x14ac:dyDescent="0.2">
      <c r="B153" s="947" t="s">
        <v>418</v>
      </c>
      <c r="C153" s="1679" t="s">
        <v>416</v>
      </c>
      <c r="D153" s="1712" t="e">
        <f t="shared" ca="1" si="50"/>
        <v>#NAME?</v>
      </c>
      <c r="E153" s="1697" t="e">
        <f t="shared" ca="1" si="51"/>
        <v>#NAME?</v>
      </c>
      <c r="F153" s="1674" t="e">
        <f t="shared" ca="1" si="45"/>
        <v>#NAME?</v>
      </c>
      <c r="G153" s="1675" t="e">
        <f t="shared" ca="1" si="52"/>
        <v>#NAME?</v>
      </c>
    </row>
    <row r="154" spans="2:7" ht="16.25" customHeight="1" x14ac:dyDescent="0.2">
      <c r="B154" s="947" t="s">
        <v>419</v>
      </c>
      <c r="C154" s="1679" t="str">
        <f>C126</f>
        <v>Contract</v>
      </c>
      <c r="D154" s="1504">
        <f t="shared" si="50"/>
        <v>1</v>
      </c>
      <c r="E154" s="1697">
        <f t="shared" si="51"/>
        <v>35314.097534910979</v>
      </c>
      <c r="F154" s="1674">
        <f t="shared" si="45"/>
        <v>0</v>
      </c>
      <c r="G154" s="1675">
        <f t="shared" si="52"/>
        <v>35314.097534910979</v>
      </c>
    </row>
    <row r="155" spans="2:7" ht="16.25" customHeight="1" x14ac:dyDescent="0.2">
      <c r="B155" s="899" t="s">
        <v>421</v>
      </c>
      <c r="C155" s="1679" t="s">
        <v>408</v>
      </c>
      <c r="D155" s="1504">
        <f t="shared" si="50"/>
        <v>1</v>
      </c>
      <c r="E155" s="1697">
        <f t="shared" si="51"/>
        <v>42582.851583999996</v>
      </c>
      <c r="F155" s="1674">
        <f t="shared" si="45"/>
        <v>12774.855475199998</v>
      </c>
      <c r="G155" s="1675">
        <f t="shared" si="52"/>
        <v>55357.707059199995</v>
      </c>
    </row>
    <row r="156" spans="2:7" ht="16.25" customHeight="1" x14ac:dyDescent="0.2">
      <c r="B156" s="947" t="s">
        <v>422</v>
      </c>
      <c r="C156" s="1679" t="s">
        <v>420</v>
      </c>
      <c r="D156" s="1504">
        <f t="shared" si="50"/>
        <v>1</v>
      </c>
      <c r="E156" s="1697">
        <f t="shared" si="51"/>
        <v>14060.492067385505</v>
      </c>
      <c r="F156" s="1674">
        <f t="shared" si="45"/>
        <v>0</v>
      </c>
      <c r="G156" s="1675">
        <f t="shared" si="52"/>
        <v>14060.492067385505</v>
      </c>
    </row>
    <row r="157" spans="2:7" ht="16.25" customHeight="1" x14ac:dyDescent="0.2">
      <c r="B157" s="947" t="s">
        <v>423</v>
      </c>
      <c r="C157" s="1679" t="str">
        <f>C129</f>
        <v>Contract</v>
      </c>
      <c r="D157" s="1504">
        <f t="shared" si="50"/>
        <v>2</v>
      </c>
      <c r="E157" s="1697">
        <f t="shared" si="51"/>
        <v>43791.402543872151</v>
      </c>
      <c r="F157" s="1674">
        <f t="shared" si="45"/>
        <v>0</v>
      </c>
      <c r="G157" s="1675">
        <f t="shared" si="52"/>
        <v>87582.805087744302</v>
      </c>
    </row>
    <row r="158" spans="2:7" ht="16.25" customHeight="1" x14ac:dyDescent="0.2">
      <c r="B158" s="947" t="s">
        <v>424</v>
      </c>
      <c r="C158" s="1679" t="s">
        <v>408</v>
      </c>
      <c r="D158" s="1504">
        <f t="shared" si="50"/>
        <v>2</v>
      </c>
      <c r="E158" s="1697">
        <f t="shared" si="51"/>
        <v>82958.301562499997</v>
      </c>
      <c r="F158" s="1674">
        <f t="shared" si="45"/>
        <v>24887.490468749998</v>
      </c>
      <c r="G158" s="1675">
        <f t="shared" si="52"/>
        <v>215691.58406249998</v>
      </c>
    </row>
    <row r="159" spans="2:7" ht="16.25" customHeight="1" x14ac:dyDescent="0.2">
      <c r="B159" s="947" t="s">
        <v>425</v>
      </c>
      <c r="C159" s="1679" t="s">
        <v>408</v>
      </c>
      <c r="D159" s="1504">
        <f t="shared" si="50"/>
        <v>2</v>
      </c>
      <c r="E159" s="1697">
        <f t="shared" si="51"/>
        <v>125971.20000000003</v>
      </c>
      <c r="F159" s="1674">
        <f t="shared" si="45"/>
        <v>37791.360000000008</v>
      </c>
      <c r="G159" s="1675">
        <f>D159*(E159+F159)</f>
        <v>327525.12000000005</v>
      </c>
    </row>
    <row r="160" spans="2:7" ht="16.25" customHeight="1" x14ac:dyDescent="0.2">
      <c r="B160" s="1678" t="s">
        <v>426</v>
      </c>
      <c r="C160" s="1679" t="s">
        <v>427</v>
      </c>
      <c r="D160" s="1504">
        <f t="shared" si="50"/>
        <v>1</v>
      </c>
      <c r="E160" s="1697" t="e">
        <f ca="1">H184</f>
        <v>#NAME?</v>
      </c>
      <c r="F160" s="1674">
        <v>0</v>
      </c>
      <c r="G160" s="1675" t="e">
        <f t="shared" ref="G160:G161" ca="1" si="53">D160*(E160+F160)</f>
        <v>#NAME?</v>
      </c>
    </row>
    <row r="161" spans="2:9" ht="16.25" customHeight="1" x14ac:dyDescent="0.2">
      <c r="B161" s="1678" t="s">
        <v>428</v>
      </c>
      <c r="C161" s="1679" t="s">
        <v>408</v>
      </c>
      <c r="D161" s="1504">
        <f t="shared" si="50"/>
        <v>1</v>
      </c>
      <c r="E161" s="1697" t="e">
        <f ca="1">H185</f>
        <v>#NAME?</v>
      </c>
      <c r="F161" s="1674">
        <f>ACV!O15*$C$217*D161</f>
        <v>26244</v>
      </c>
      <c r="G161" s="1675" t="e">
        <f t="shared" ca="1" si="53"/>
        <v>#NAME?</v>
      </c>
    </row>
    <row r="162" spans="2:9" ht="16.25" customHeight="1" x14ac:dyDescent="0.2">
      <c r="B162" s="1689" t="s">
        <v>429</v>
      </c>
      <c r="C162" s="1570" t="s">
        <v>408</v>
      </c>
      <c r="D162" s="1505">
        <f>H211</f>
        <v>2</v>
      </c>
      <c r="E162" s="1707">
        <f>H186</f>
        <v>73466.403840000028</v>
      </c>
      <c r="F162" s="1683">
        <f t="shared" si="45"/>
        <v>22039.921152000006</v>
      </c>
      <c r="G162" s="1684">
        <f t="shared" si="52"/>
        <v>191012.64998400008</v>
      </c>
    </row>
    <row r="163" spans="2:9" ht="16.25" customHeight="1" x14ac:dyDescent="0.2">
      <c r="B163" s="899" t="s">
        <v>430</v>
      </c>
      <c r="C163" s="791"/>
      <c r="D163" s="791"/>
      <c r="E163" s="757"/>
      <c r="F163" s="1685"/>
      <c r="G163" s="1714" t="e">
        <f ca="1">SUM(G144:G162)</f>
        <v>#NAME?</v>
      </c>
    </row>
    <row r="164" spans="2:9" x14ac:dyDescent="0.2">
      <c r="B164" s="891" t="s">
        <v>431</v>
      </c>
      <c r="C164" s="1390"/>
      <c r="D164" s="1390"/>
      <c r="E164" s="1235"/>
      <c r="F164" s="1687"/>
      <c r="G164" s="1688" t="e">
        <f ca="1">G152</f>
        <v>#NAME?</v>
      </c>
    </row>
    <row r="165" spans="2:9" x14ac:dyDescent="0.2">
      <c r="B165" s="899" t="s">
        <v>432</v>
      </c>
      <c r="C165" s="791"/>
      <c r="D165" s="791"/>
      <c r="E165" s="757"/>
      <c r="F165" s="1685"/>
      <c r="G165" s="1686" t="e">
        <f ca="1">G162+G153</f>
        <v>#NAME?</v>
      </c>
    </row>
    <row r="166" spans="2:9" x14ac:dyDescent="0.2">
      <c r="B166" s="1689" t="s">
        <v>433</v>
      </c>
      <c r="C166" s="914"/>
      <c r="D166" s="914"/>
      <c r="E166" s="1246"/>
      <c r="F166" s="1700"/>
      <c r="G166" s="1701" t="e">
        <f ca="1">SUM(G144:G151)+SUM(G154:G161)</f>
        <v>#NAME?</v>
      </c>
    </row>
    <row r="168" spans="2:9" x14ac:dyDescent="0.2">
      <c r="B168" s="1716" t="s">
        <v>439</v>
      </c>
      <c r="C168" s="1717" t="s">
        <v>188</v>
      </c>
      <c r="D168" s="1718" t="s">
        <v>71</v>
      </c>
      <c r="E168" s="1718" t="s">
        <v>72</v>
      </c>
      <c r="F168" s="1718" t="s">
        <v>73</v>
      </c>
      <c r="G168" s="1718" t="s">
        <v>74</v>
      </c>
      <c r="H168" s="1719" t="s">
        <v>75</v>
      </c>
      <c r="I168" s="1508" t="s">
        <v>440</v>
      </c>
    </row>
    <row r="169" spans="2:9" x14ac:dyDescent="0.2">
      <c r="B169" s="1720" t="s">
        <v>441</v>
      </c>
      <c r="C169" s="1721">
        <v>140000</v>
      </c>
      <c r="D169" s="1721">
        <f>C169*(1+$I$169)</f>
        <v>154000</v>
      </c>
      <c r="E169" s="1721">
        <f>D169*(1+$I$169)</f>
        <v>169400</v>
      </c>
      <c r="F169" s="1721">
        <f>E169*(1+$I$169)</f>
        <v>186340.00000000003</v>
      </c>
      <c r="G169" s="1721">
        <f>F169*(1+$I$169)</f>
        <v>204974.00000000006</v>
      </c>
      <c r="H169" s="1722">
        <f>G169*(1+$I$169)</f>
        <v>225471.40000000008</v>
      </c>
      <c r="I169" s="1723">
        <v>0.1</v>
      </c>
    </row>
    <row r="170" spans="2:9" x14ac:dyDescent="0.2">
      <c r="B170" s="1724" t="s">
        <v>409</v>
      </c>
      <c r="C170" s="1721">
        <v>120000</v>
      </c>
      <c r="D170" s="1721">
        <f>C170*(1+$I$170)</f>
        <v>132000</v>
      </c>
      <c r="E170" s="1721">
        <f>D170*(1+$I$170)</f>
        <v>145200</v>
      </c>
      <c r="F170" s="1721">
        <f>E170*(1+$I$170)</f>
        <v>159720</v>
      </c>
      <c r="G170" s="1721">
        <f>F170*(1+$I$170)</f>
        <v>175692</v>
      </c>
      <c r="H170" s="1722">
        <f>G170*(1+$I$170)</f>
        <v>193261.2</v>
      </c>
      <c r="I170" s="1725">
        <v>0.1</v>
      </c>
    </row>
    <row r="171" spans="2:9" x14ac:dyDescent="0.2">
      <c r="B171" s="1724" t="s">
        <v>410</v>
      </c>
      <c r="C171" s="1721">
        <v>100000</v>
      </c>
      <c r="D171" s="1721">
        <f>C171*(1+$I$171)</f>
        <v>110000.00000000001</v>
      </c>
      <c r="E171" s="1721">
        <f>D171*(1+$I$171)</f>
        <v>121000.00000000003</v>
      </c>
      <c r="F171" s="1721">
        <f>E171*(1+$I$171)</f>
        <v>133100.00000000003</v>
      </c>
      <c r="G171" s="1721">
        <f>F171*(1+$I$171)</f>
        <v>146410.00000000006</v>
      </c>
      <c r="H171" s="1722">
        <f>G171*(1+$I$171)</f>
        <v>161051.00000000009</v>
      </c>
      <c r="I171" s="1725">
        <v>0.1</v>
      </c>
    </row>
    <row r="172" spans="2:9" x14ac:dyDescent="0.2">
      <c r="B172" s="1726" t="s">
        <v>442</v>
      </c>
      <c r="C172" s="1721">
        <v>100000</v>
      </c>
      <c r="D172" s="1721">
        <f>C172*(1+$I$172)</f>
        <v>110000.00000000001</v>
      </c>
      <c r="E172" s="1721">
        <f>D172*(1+$I$172)</f>
        <v>121000.00000000003</v>
      </c>
      <c r="F172" s="1721">
        <f>E172*(1+$I$172)</f>
        <v>133100.00000000003</v>
      </c>
      <c r="G172" s="1721">
        <f>F172*(1+$I$172)</f>
        <v>146410.00000000006</v>
      </c>
      <c r="H172" s="1722">
        <f>G172*(1+$I$172)</f>
        <v>161051.00000000009</v>
      </c>
      <c r="I172" s="1725">
        <v>0.1</v>
      </c>
    </row>
    <row r="173" spans="2:9" x14ac:dyDescent="0.2">
      <c r="B173" s="1726" t="s">
        <v>412</v>
      </c>
      <c r="C173" s="1721">
        <v>0</v>
      </c>
      <c r="D173" s="1721">
        <v>0</v>
      </c>
      <c r="E173" s="1721">
        <v>0</v>
      </c>
      <c r="F173" s="1721">
        <v>0</v>
      </c>
      <c r="G173" s="1721">
        <v>95000</v>
      </c>
      <c r="H173" s="1722">
        <f>G173*(1+I173)</f>
        <v>102600</v>
      </c>
      <c r="I173" s="1725">
        <v>0.08</v>
      </c>
    </row>
    <row r="174" spans="2:9" x14ac:dyDescent="0.2">
      <c r="B174" s="1720" t="s">
        <v>443</v>
      </c>
      <c r="C174" s="1721">
        <v>0</v>
      </c>
      <c r="D174" s="1721">
        <v>60000</v>
      </c>
      <c r="E174" s="1721">
        <f>D174*(1+$I$174)</f>
        <v>62532</v>
      </c>
      <c r="F174" s="1721">
        <f>E174*(1+$I$174)</f>
        <v>65170.850400000003</v>
      </c>
      <c r="G174" s="1727">
        <f>F174*(1+$I$174)</f>
        <v>67921.060286880005</v>
      </c>
      <c r="H174" s="1728">
        <f>G174*(1+$I$174)</f>
        <v>70787.329030986337</v>
      </c>
      <c r="I174" s="1725">
        <v>4.2200000000000001E-2</v>
      </c>
    </row>
    <row r="175" spans="2:9" x14ac:dyDescent="0.2">
      <c r="B175" s="1724" t="s">
        <v>415</v>
      </c>
      <c r="C175" s="1721">
        <v>8000</v>
      </c>
      <c r="D175" s="1721">
        <f>C175*(1+$I$175)</f>
        <v>8257.6</v>
      </c>
      <c r="E175" s="1721">
        <f>D175*(1+$I$175)</f>
        <v>8523.4947200000006</v>
      </c>
      <c r="F175" s="1721">
        <f>E175*(1+$I$175)</f>
        <v>8797.9512499840002</v>
      </c>
      <c r="G175" s="1721">
        <f>F175*(1+$I$175)</f>
        <v>9081.2452802334847</v>
      </c>
      <c r="H175" s="1722">
        <f>G175*(1+$I$175)</f>
        <v>9373.6613782570021</v>
      </c>
      <c r="I175" s="1725">
        <v>3.2199999999999999E-2</v>
      </c>
    </row>
    <row r="176" spans="2:9" x14ac:dyDescent="0.2">
      <c r="B176" s="1720" t="s">
        <v>417</v>
      </c>
      <c r="C176" s="1721" t="e">
        <f ca="1">E191</f>
        <v>#NAME?</v>
      </c>
      <c r="D176" s="1721">
        <f>16000</f>
        <v>16000</v>
      </c>
      <c r="E176" s="1721">
        <f>D176*(1+$I$176)</f>
        <v>16515.2</v>
      </c>
      <c r="F176" s="1721">
        <f>E176*(1+$I$176)</f>
        <v>17046.989440000001</v>
      </c>
      <c r="G176" s="1721">
        <f>F176*(1+$I$176)</f>
        <v>17595.902499968</v>
      </c>
      <c r="H176" s="1722">
        <f>G176*(1+$I$176)</f>
        <v>18162.490560466969</v>
      </c>
      <c r="I176" s="1725">
        <v>3.2199999999999999E-2</v>
      </c>
    </row>
    <row r="177" spans="2:10" x14ac:dyDescent="0.2">
      <c r="B177" s="1720" t="s">
        <v>418</v>
      </c>
      <c r="C177" s="1721">
        <v>0</v>
      </c>
      <c r="D177" s="1721" t="e">
        <f ca="1">'General Assumptions'!C32*ROUNDUP(Capacity!H43*5,0)*'General Assumptions'!$C8</f>
        <v>#NAME?</v>
      </c>
      <c r="E177" s="1721" t="e">
        <f ca="1">'General Assumptions'!C32*ROUNDUP(Capacity!H84*5,0)*'General Assumptions'!$C8*(1+$I$176)</f>
        <v>#NAME?</v>
      </c>
      <c r="F177" s="1721" t="e">
        <f ca="1">'General Assumptions'!$C32*ROUNDUP(Capacity!H125*5,0)*'General Assumptions'!$C8*(1+$I$176)</f>
        <v>#NAME?</v>
      </c>
      <c r="G177" s="1721" t="e">
        <f ca="1">'General Assumptions'!$C32*ROUNDUP(Capacity!H166*5,0)*'General Assumptions'!$C8*(1+$I$176)</f>
        <v>#NAME?</v>
      </c>
      <c r="H177" s="1721" t="e">
        <f ca="1">'General Assumptions'!$C32*ROUNDUP(Capacity!H207*5,0)*'General Assumptions'!$C8*(1+$I$176)</f>
        <v>#NAME?</v>
      </c>
      <c r="I177" s="1725">
        <f>I176</f>
        <v>3.2199999999999999E-2</v>
      </c>
    </row>
    <row r="178" spans="2:10" x14ac:dyDescent="0.2">
      <c r="B178" s="1724" t="s">
        <v>444</v>
      </c>
      <c r="C178" s="1721">
        <v>30139</v>
      </c>
      <c r="D178" s="1721">
        <f>C178*(1+$I$178)</f>
        <v>31109.4758</v>
      </c>
      <c r="E178" s="1721">
        <f>D178*(1+$I$178)</f>
        <v>32111.200920759999</v>
      </c>
      <c r="F178" s="1721">
        <f>E178*(1+$I$178)</f>
        <v>33145.181590408472</v>
      </c>
      <c r="G178" s="1721">
        <f>F178*(1+$I$178)</f>
        <v>34212.456437619629</v>
      </c>
      <c r="H178" s="1722">
        <f>G178*(1+$I$178)</f>
        <v>35314.097534910979</v>
      </c>
      <c r="I178" s="1725">
        <v>3.2199999999999999E-2</v>
      </c>
    </row>
    <row r="179" spans="2:10" x14ac:dyDescent="0.2">
      <c r="B179" s="1724" t="s">
        <v>421</v>
      </c>
      <c r="C179" s="1721">
        <v>35000</v>
      </c>
      <c r="D179" s="1721">
        <f>C179*(1+$I$179)</f>
        <v>36400</v>
      </c>
      <c r="E179" s="1721">
        <f>D179*(1+$I$179)</f>
        <v>37856</v>
      </c>
      <c r="F179" s="1721">
        <f>E179*(1+$I$179)</f>
        <v>39370.239999999998</v>
      </c>
      <c r="G179" s="1721">
        <f>F179*(1+$I$179)</f>
        <v>40945.049599999998</v>
      </c>
      <c r="H179" s="1722">
        <f>G179*(1+$I$179)</f>
        <v>42582.851583999996</v>
      </c>
      <c r="I179" s="1725">
        <v>0.04</v>
      </c>
    </row>
    <row r="180" spans="2:10" x14ac:dyDescent="0.2">
      <c r="B180" s="1726" t="s">
        <v>445</v>
      </c>
      <c r="C180" s="1729">
        <v>12000</v>
      </c>
      <c r="D180" s="1721">
        <f>C180*(1+$I$180)</f>
        <v>12386.4</v>
      </c>
      <c r="E180" s="1721">
        <f>D180*(1+$I$180)</f>
        <v>12785.24208</v>
      </c>
      <c r="F180" s="1721">
        <f>E180*(1+$I$180)</f>
        <v>13196.926874975999</v>
      </c>
      <c r="G180" s="1721">
        <f>F180*(1+$I$180)</f>
        <v>13621.867920350227</v>
      </c>
      <c r="H180" s="1722">
        <f>G180*(1+$I$180)</f>
        <v>14060.492067385505</v>
      </c>
      <c r="I180" s="1725">
        <v>3.2199999999999999E-2</v>
      </c>
    </row>
    <row r="181" spans="2:10" x14ac:dyDescent="0.2">
      <c r="B181" s="1724" t="s">
        <v>446</v>
      </c>
      <c r="C181" s="1729">
        <v>37374</v>
      </c>
      <c r="D181" s="1721">
        <f>C181*(1+$I$181)</f>
        <v>38577.442799999997</v>
      </c>
      <c r="E181" s="1721">
        <f>D181*(1+$I$181)</f>
        <v>39819.636458159999</v>
      </c>
      <c r="F181" s="1721">
        <f>E181*(1+$I$181)</f>
        <v>41101.828752112749</v>
      </c>
      <c r="G181" s="1721">
        <f>F181*(1+$I$181)</f>
        <v>42425.307637930782</v>
      </c>
      <c r="H181" s="1722">
        <f>G181*(1+$I$181)</f>
        <v>43791.402543872151</v>
      </c>
      <c r="I181" s="1725">
        <v>3.2199999999999999E-2</v>
      </c>
    </row>
    <row r="182" spans="2:10" x14ac:dyDescent="0.2">
      <c r="B182" s="1724" t="s">
        <v>424</v>
      </c>
      <c r="C182" s="1729">
        <v>65000</v>
      </c>
      <c r="D182" s="1721">
        <f>C182*(1+$I$182)</f>
        <v>68250</v>
      </c>
      <c r="E182" s="1721">
        <f>D182*(1+$I$182)</f>
        <v>71662.5</v>
      </c>
      <c r="F182" s="1721">
        <f>E182*(1+$I$182)</f>
        <v>75245.625</v>
      </c>
      <c r="G182" s="1721">
        <f>F182*(1+$I$182)</f>
        <v>79007.90625</v>
      </c>
      <c r="H182" s="1722">
        <f>G182*(1+$I$182)</f>
        <v>82958.301562499997</v>
      </c>
      <c r="I182" s="1725">
        <v>0.05</v>
      </c>
    </row>
    <row r="183" spans="2:10" x14ac:dyDescent="0.2">
      <c r="B183" s="1724" t="s">
        <v>447</v>
      </c>
      <c r="C183" s="1729">
        <v>0</v>
      </c>
      <c r="D183" s="1729">
        <v>0</v>
      </c>
      <c r="E183" s="1721">
        <v>100000</v>
      </c>
      <c r="F183" s="1721">
        <f>E183*(1+$I$183)</f>
        <v>108000</v>
      </c>
      <c r="G183" s="1721">
        <f>F183*(1+$I$183)</f>
        <v>116640.00000000001</v>
      </c>
      <c r="H183" s="1722">
        <f>G183*(1+$I$183)</f>
        <v>125971.20000000003</v>
      </c>
      <c r="I183" s="1725">
        <v>0.08</v>
      </c>
    </row>
    <row r="184" spans="2:10" x14ac:dyDescent="0.2">
      <c r="B184" s="1724" t="s">
        <v>426</v>
      </c>
      <c r="C184" s="1729">
        <v>0</v>
      </c>
      <c r="D184" s="1730" t="e">
        <f ca="1">ACV!R6</f>
        <v>#NAME?</v>
      </c>
      <c r="E184" s="1721" t="e">
        <f ca="1">ACV!R8</f>
        <v>#NAME?</v>
      </c>
      <c r="F184" s="1721" t="e">
        <f ca="1">ACV!R10</f>
        <v>#NAME?</v>
      </c>
      <c r="G184" s="1721" t="e">
        <f ca="1">ACV!R12</f>
        <v>#NAME?</v>
      </c>
      <c r="H184" s="1722" t="e">
        <f ca="1">ACV!R14</f>
        <v>#NAME?</v>
      </c>
      <c r="I184" s="1725">
        <v>0</v>
      </c>
    </row>
    <row r="185" spans="2:10" x14ac:dyDescent="0.2">
      <c r="B185" s="1724" t="s">
        <v>428</v>
      </c>
      <c r="C185" s="1729">
        <v>0</v>
      </c>
      <c r="D185" s="1729">
        <f>ACV!R7</f>
        <v>0</v>
      </c>
      <c r="E185" s="1721">
        <f>ACV!R9</f>
        <v>0</v>
      </c>
      <c r="F185" s="1721" t="e">
        <f ca="1">ACV!R11</f>
        <v>#NAME?</v>
      </c>
      <c r="G185" s="1721" t="e">
        <f ca="1">ACV!R13</f>
        <v>#NAME?</v>
      </c>
      <c r="H185" s="1722" t="e">
        <f ca="1">ACV!R15</f>
        <v>#NAME?</v>
      </c>
      <c r="I185" s="1725">
        <v>0.08</v>
      </c>
    </row>
    <row r="186" spans="2:10" x14ac:dyDescent="0.2">
      <c r="B186" s="1731" t="s">
        <v>429</v>
      </c>
      <c r="C186" s="1732">
        <v>50000</v>
      </c>
      <c r="D186" s="1732">
        <f>C186*(1+$I$186)</f>
        <v>54000</v>
      </c>
      <c r="E186" s="1732">
        <f>D186*(1+$I$186)</f>
        <v>58320.000000000007</v>
      </c>
      <c r="F186" s="1732">
        <f>E186*(1+$I$186)</f>
        <v>62985.600000000013</v>
      </c>
      <c r="G186" s="1732">
        <f>F186*(1+$I$186)</f>
        <v>68024.448000000019</v>
      </c>
      <c r="H186" s="1733">
        <f>G186*(1+$I$186)</f>
        <v>73466.403840000028</v>
      </c>
      <c r="I186" s="1734">
        <v>0.08</v>
      </c>
    </row>
    <row r="187" spans="2:10" x14ac:dyDescent="0.2">
      <c r="B187" s="1735"/>
      <c r="C187" s="1736"/>
      <c r="D187" s="1736"/>
      <c r="E187" s="1736"/>
      <c r="F187" s="1736"/>
      <c r="G187" s="1736"/>
      <c r="H187" s="1722"/>
      <c r="I187" s="1722"/>
      <c r="J187" s="901"/>
    </row>
    <row r="188" spans="2:10" x14ac:dyDescent="0.2">
      <c r="B188" s="1737" t="s">
        <v>448</v>
      </c>
      <c r="C188" s="1736"/>
      <c r="D188" s="1722"/>
      <c r="E188" s="1722"/>
      <c r="F188" s="1722"/>
      <c r="G188" s="1738"/>
      <c r="H188" s="1738"/>
      <c r="I188" s="1738"/>
      <c r="J188" s="1739"/>
    </row>
    <row r="189" spans="2:10" x14ac:dyDescent="0.2">
      <c r="B189" s="1740" t="s">
        <v>449</v>
      </c>
      <c r="C189" s="1741">
        <v>2</v>
      </c>
      <c r="D189" s="1742" t="s">
        <v>450</v>
      </c>
      <c r="E189" s="1743" t="e">
        <f ca="1">G40/C191</f>
        <v>#NAME?</v>
      </c>
      <c r="F189" s="1722"/>
      <c r="G189" s="1744"/>
      <c r="H189" s="1738"/>
      <c r="I189" s="1738"/>
      <c r="J189" s="1739"/>
    </row>
    <row r="190" spans="2:10" x14ac:dyDescent="0.2">
      <c r="B190" s="1740" t="s">
        <v>451</v>
      </c>
      <c r="C190" s="1745">
        <v>15</v>
      </c>
      <c r="D190" s="1746" t="s">
        <v>452</v>
      </c>
      <c r="E190" s="1747" t="e">
        <f ca="1">E189*C189</f>
        <v>#NAME?</v>
      </c>
      <c r="F190" s="1722"/>
      <c r="G190" s="1738"/>
      <c r="H190" s="1738"/>
      <c r="I190" s="1738"/>
      <c r="J190" s="1739"/>
    </row>
    <row r="191" spans="2:10" x14ac:dyDescent="0.2">
      <c r="B191" s="1748" t="s">
        <v>453</v>
      </c>
      <c r="C191" s="1749">
        <v>12</v>
      </c>
      <c r="D191" s="1750" t="s">
        <v>454</v>
      </c>
      <c r="E191" s="1751" t="e">
        <f ca="1">E190/C190</f>
        <v>#NAME?</v>
      </c>
      <c r="F191" s="1722"/>
      <c r="G191" s="1738"/>
      <c r="H191" s="1738"/>
      <c r="I191" s="1738"/>
      <c r="J191" s="1739"/>
    </row>
    <row r="192" spans="2:10" x14ac:dyDescent="0.2">
      <c r="J192" s="1752"/>
    </row>
    <row r="193" spans="2:8" x14ac:dyDescent="0.2">
      <c r="B193" s="1753" t="s">
        <v>455</v>
      </c>
      <c r="C193" s="1717" t="s">
        <v>188</v>
      </c>
      <c r="D193" s="1718" t="s">
        <v>71</v>
      </c>
      <c r="E193" s="1718" t="s">
        <v>72</v>
      </c>
      <c r="F193" s="1718" t="s">
        <v>73</v>
      </c>
      <c r="G193" s="1718" t="s">
        <v>74</v>
      </c>
      <c r="H193" s="1719" t="s">
        <v>75</v>
      </c>
    </row>
    <row r="194" spans="2:8" x14ac:dyDescent="0.2">
      <c r="B194" s="916" t="s">
        <v>441</v>
      </c>
      <c r="C194" s="1754">
        <v>1</v>
      </c>
      <c r="D194" s="1755">
        <v>1</v>
      </c>
      <c r="E194" s="1755">
        <v>1</v>
      </c>
      <c r="F194" s="1755">
        <v>1</v>
      </c>
      <c r="G194" s="1755">
        <v>1</v>
      </c>
      <c r="H194" s="1495">
        <v>1</v>
      </c>
    </row>
    <row r="195" spans="2:8" x14ac:dyDescent="0.2">
      <c r="B195" s="920" t="s">
        <v>409</v>
      </c>
      <c r="C195" s="1578">
        <v>1</v>
      </c>
      <c r="D195" s="1504">
        <v>1</v>
      </c>
      <c r="E195" s="1504">
        <v>1</v>
      </c>
      <c r="F195" s="1504">
        <v>1</v>
      </c>
      <c r="G195" s="1504">
        <v>1</v>
      </c>
      <c r="H195" s="1496">
        <v>1</v>
      </c>
    </row>
    <row r="196" spans="2:8" x14ac:dyDescent="0.2">
      <c r="B196" s="920" t="s">
        <v>410</v>
      </c>
      <c r="C196" s="1578">
        <v>1</v>
      </c>
      <c r="D196" s="1504">
        <v>1</v>
      </c>
      <c r="E196" s="1504">
        <v>1</v>
      </c>
      <c r="F196" s="1504">
        <v>1</v>
      </c>
      <c r="G196" s="1504">
        <v>1</v>
      </c>
      <c r="H196" s="1496">
        <v>1</v>
      </c>
    </row>
    <row r="197" spans="2:8" x14ac:dyDescent="0.2">
      <c r="B197" s="920" t="s">
        <v>411</v>
      </c>
      <c r="C197" s="1578">
        <v>1</v>
      </c>
      <c r="D197" s="1504">
        <v>1</v>
      </c>
      <c r="E197" s="1504">
        <v>1</v>
      </c>
      <c r="F197" s="1504">
        <v>1</v>
      </c>
      <c r="G197" s="1504">
        <v>1</v>
      </c>
      <c r="H197" s="1496">
        <v>1</v>
      </c>
    </row>
    <row r="198" spans="2:8" x14ac:dyDescent="0.2">
      <c r="B198" s="920" t="s">
        <v>412</v>
      </c>
      <c r="C198" s="1578">
        <v>0</v>
      </c>
      <c r="D198" s="1504">
        <v>0</v>
      </c>
      <c r="E198" s="1504">
        <v>0</v>
      </c>
      <c r="F198" s="1504">
        <v>0</v>
      </c>
      <c r="G198" s="1504">
        <v>1</v>
      </c>
      <c r="H198" s="1496">
        <v>1</v>
      </c>
    </row>
    <row r="199" spans="2:8" x14ac:dyDescent="0.2">
      <c r="B199" s="920" t="s">
        <v>443</v>
      </c>
      <c r="C199" s="1578">
        <v>0</v>
      </c>
      <c r="D199" s="1504">
        <v>1</v>
      </c>
      <c r="E199" s="1504">
        <v>1</v>
      </c>
      <c r="F199" s="1504">
        <v>2</v>
      </c>
      <c r="G199" s="1504">
        <v>3</v>
      </c>
      <c r="H199" s="1496">
        <v>3</v>
      </c>
    </row>
    <row r="200" spans="2:8" x14ac:dyDescent="0.2">
      <c r="B200" s="920" t="s">
        <v>415</v>
      </c>
      <c r="C200" s="1578">
        <v>0</v>
      </c>
      <c r="D200" s="1504">
        <f>Capacity!C51</f>
        <v>0</v>
      </c>
      <c r="E200" s="1504">
        <f>Capacity!C92</f>
        <v>0</v>
      </c>
      <c r="F200" s="1504">
        <f>Capacity!C133</f>
        <v>1</v>
      </c>
      <c r="G200" s="1504">
        <f>Capacity!C174</f>
        <v>1</v>
      </c>
      <c r="H200" s="1496">
        <f>Capacity!C215</f>
        <v>1</v>
      </c>
    </row>
    <row r="201" spans="2:8" x14ac:dyDescent="0.2">
      <c r="B201" s="920" t="s">
        <v>417</v>
      </c>
      <c r="C201" s="1578" t="e">
        <f ca="1">Capacity!D35</f>
        <v>#NAME?</v>
      </c>
      <c r="D201" s="1504" t="e">
        <f ca="1">Capacity!$D$35</f>
        <v>#NAME?</v>
      </c>
      <c r="E201" s="1504" t="e">
        <f ca="1">Capacity!$D$76</f>
        <v>#NAME?</v>
      </c>
      <c r="F201" s="1504" t="e">
        <f ca="1">Capacity!$D$117</f>
        <v>#NAME?</v>
      </c>
      <c r="G201" s="1504" t="e">
        <f ca="1">Capacity!$D$158</f>
        <v>#NAME?</v>
      </c>
      <c r="H201" s="1496" t="e">
        <f ca="1">Capacity!$D$199</f>
        <v>#NAME?</v>
      </c>
    </row>
    <row r="202" spans="2:8" x14ac:dyDescent="0.2">
      <c r="B202" s="920" t="s">
        <v>418</v>
      </c>
      <c r="C202" s="1756">
        <v>0</v>
      </c>
      <c r="D202" s="1712" t="e">
        <f ca="1">Capacity!D42</f>
        <v>#NAME?</v>
      </c>
      <c r="E202" s="1712" t="e">
        <f ca="1">Capacity!D83</f>
        <v>#NAME?</v>
      </c>
      <c r="F202" s="1712" t="e">
        <f ca="1">Capacity!D124</f>
        <v>#NAME?</v>
      </c>
      <c r="G202" s="1712" t="e">
        <f ca="1">Capacity!D165</f>
        <v>#NAME?</v>
      </c>
      <c r="H202" s="1757" t="e">
        <f ca="1">Capacity!D206</f>
        <v>#NAME?</v>
      </c>
    </row>
    <row r="203" spans="2:8" x14ac:dyDescent="0.2">
      <c r="B203" s="920" t="s">
        <v>456</v>
      </c>
      <c r="C203" s="1578">
        <v>1</v>
      </c>
      <c r="D203" s="1504">
        <v>1</v>
      </c>
      <c r="E203" s="1504">
        <v>1</v>
      </c>
      <c r="F203" s="1504">
        <v>1</v>
      </c>
      <c r="G203" s="1504">
        <v>1</v>
      </c>
      <c r="H203" s="1496">
        <v>1</v>
      </c>
    </row>
    <row r="204" spans="2:8" x14ac:dyDescent="0.2">
      <c r="B204" s="920" t="s">
        <v>421</v>
      </c>
      <c r="C204" s="1578">
        <v>1</v>
      </c>
      <c r="D204" s="1504">
        <v>1</v>
      </c>
      <c r="E204" s="1504">
        <v>1</v>
      </c>
      <c r="F204" s="1504">
        <v>1</v>
      </c>
      <c r="G204" s="1504">
        <v>1</v>
      </c>
      <c r="H204" s="1496">
        <v>1</v>
      </c>
    </row>
    <row r="205" spans="2:8" x14ac:dyDescent="0.2">
      <c r="B205" s="920" t="s">
        <v>445</v>
      </c>
      <c r="C205" s="1578">
        <v>1</v>
      </c>
      <c r="D205" s="1504">
        <v>1</v>
      </c>
      <c r="E205" s="1504">
        <v>1</v>
      </c>
      <c r="F205" s="1504">
        <v>1</v>
      </c>
      <c r="G205" s="1504">
        <v>1</v>
      </c>
      <c r="H205" s="1496">
        <v>1</v>
      </c>
    </row>
    <row r="206" spans="2:8" x14ac:dyDescent="0.2">
      <c r="B206" s="920" t="s">
        <v>423</v>
      </c>
      <c r="C206" s="1578">
        <v>1</v>
      </c>
      <c r="D206" s="1504">
        <v>1</v>
      </c>
      <c r="E206" s="1504">
        <v>1</v>
      </c>
      <c r="F206" s="1504">
        <v>2</v>
      </c>
      <c r="G206" s="1504">
        <v>2</v>
      </c>
      <c r="H206" s="1496">
        <v>2</v>
      </c>
    </row>
    <row r="207" spans="2:8" x14ac:dyDescent="0.2">
      <c r="B207" s="920" t="s">
        <v>457</v>
      </c>
      <c r="C207" s="1578">
        <v>2</v>
      </c>
      <c r="D207" s="1504">
        <v>2</v>
      </c>
      <c r="E207" s="1504">
        <v>2</v>
      </c>
      <c r="F207" s="1504">
        <v>2</v>
      </c>
      <c r="G207" s="1504">
        <v>2</v>
      </c>
      <c r="H207" s="1496">
        <v>2</v>
      </c>
    </row>
    <row r="208" spans="2:8" x14ac:dyDescent="0.2">
      <c r="B208" s="920" t="s">
        <v>425</v>
      </c>
      <c r="C208" s="1578">
        <v>0</v>
      </c>
      <c r="D208" s="1504">
        <v>0</v>
      </c>
      <c r="E208" s="1504">
        <v>1</v>
      </c>
      <c r="F208" s="1504">
        <v>1</v>
      </c>
      <c r="G208" s="1504">
        <v>2</v>
      </c>
      <c r="H208" s="1496">
        <v>2</v>
      </c>
    </row>
    <row r="209" spans="2:8" x14ac:dyDescent="0.2">
      <c r="B209" s="920" t="s">
        <v>426</v>
      </c>
      <c r="C209" s="1758">
        <v>0</v>
      </c>
      <c r="D209" s="1504">
        <f>1</f>
        <v>1</v>
      </c>
      <c r="E209" s="1504">
        <v>1</v>
      </c>
      <c r="F209" s="1504">
        <v>1</v>
      </c>
      <c r="G209" s="1504">
        <v>1</v>
      </c>
      <c r="H209" s="1496">
        <v>1</v>
      </c>
    </row>
    <row r="210" spans="2:8" x14ac:dyDescent="0.2">
      <c r="B210" s="920" t="s">
        <v>428</v>
      </c>
      <c r="C210" s="1578">
        <v>0</v>
      </c>
      <c r="D210" s="1504">
        <v>0</v>
      </c>
      <c r="E210" s="1504">
        <v>0</v>
      </c>
      <c r="F210" s="1759">
        <f>ACV!T22</f>
        <v>1</v>
      </c>
      <c r="G210" s="1504">
        <f>ACV!T27</f>
        <v>1</v>
      </c>
      <c r="H210" s="1496">
        <f>ACV!T32</f>
        <v>1</v>
      </c>
    </row>
    <row r="211" spans="2:8" x14ac:dyDescent="0.2">
      <c r="B211" s="920" t="s">
        <v>429</v>
      </c>
      <c r="C211" s="1578">
        <v>1</v>
      </c>
      <c r="D211" s="1504">
        <v>1</v>
      </c>
      <c r="E211" s="1504">
        <v>1</v>
      </c>
      <c r="F211" s="1504">
        <v>2</v>
      </c>
      <c r="G211" s="1504">
        <f>F211</f>
        <v>2</v>
      </c>
      <c r="H211" s="1496">
        <f>G211</f>
        <v>2</v>
      </c>
    </row>
    <row r="212" spans="2:8" x14ac:dyDescent="0.2">
      <c r="B212" s="1760" t="s">
        <v>189</v>
      </c>
      <c r="C212" s="1761" t="e">
        <f ca="1">SUM(C194:C198)+C199*2+SUM(C200:C211)</f>
        <v>#NAME?</v>
      </c>
      <c r="D212" s="1762" t="e">
        <f ca="1">SUM(D194:D198)+D199*2+SUM(D200:D211)</f>
        <v>#NAME?</v>
      </c>
      <c r="E212" s="1762" t="e">
        <f t="shared" ref="E212:H212" ca="1" si="54">SUM(E194:E198)+E199*2+SUM(E200:E211)</f>
        <v>#NAME?</v>
      </c>
      <c r="F212" s="1762" t="e">
        <f t="shared" ca="1" si="54"/>
        <v>#NAME?</v>
      </c>
      <c r="G212" s="1762" t="e">
        <f t="shared" ca="1" si="54"/>
        <v>#NAME?</v>
      </c>
      <c r="H212" s="1763" t="e">
        <f t="shared" ca="1" si="54"/>
        <v>#NAME?</v>
      </c>
    </row>
    <row r="213" spans="2:8" x14ac:dyDescent="0.2">
      <c r="B213" s="1764" t="s">
        <v>458</v>
      </c>
      <c r="C213" s="1765">
        <f>SUM(C194:C198)+C199*2+C200+SUM(C203:C211)</f>
        <v>11</v>
      </c>
      <c r="D213" s="1706">
        <f t="shared" ref="D213:H213" si="55">SUM(D194:D198)+D199*2+D200+SUM(D203:D211)</f>
        <v>14</v>
      </c>
      <c r="E213" s="1706">
        <f t="shared" si="55"/>
        <v>15</v>
      </c>
      <c r="F213" s="1706">
        <f t="shared" si="55"/>
        <v>21</v>
      </c>
      <c r="G213" s="1706">
        <f t="shared" si="55"/>
        <v>25</v>
      </c>
      <c r="H213" s="1766">
        <f t="shared" si="55"/>
        <v>25</v>
      </c>
    </row>
    <row r="215" spans="2:8" x14ac:dyDescent="0.2">
      <c r="B215" s="891" t="s">
        <v>459</v>
      </c>
      <c r="C215" s="1767">
        <f>3/12</f>
        <v>0.25</v>
      </c>
    </row>
    <row r="216" spans="2:8" x14ac:dyDescent="0.2">
      <c r="B216" s="899" t="s">
        <v>459</v>
      </c>
      <c r="C216" s="1534">
        <f>2/12</f>
        <v>0.16666666666666666</v>
      </c>
    </row>
    <row r="217" spans="2:8" x14ac:dyDescent="0.2">
      <c r="B217" s="899" t="s">
        <v>460</v>
      </c>
      <c r="C217" s="1768">
        <v>0.3</v>
      </c>
    </row>
    <row r="218" spans="2:8" x14ac:dyDescent="0.2">
      <c r="B218" s="899"/>
      <c r="C218" s="1769"/>
    </row>
    <row r="219" spans="2:8" x14ac:dyDescent="0.2">
      <c r="B219" s="1689" t="s">
        <v>461</v>
      </c>
      <c r="C219" s="1770">
        <f>6/12</f>
        <v>0.5</v>
      </c>
    </row>
  </sheetData>
  <mergeCells count="6">
    <mergeCell ref="B142:G142"/>
    <mergeCell ref="B2:G2"/>
    <mergeCell ref="B30:G30"/>
    <mergeCell ref="B58:G58"/>
    <mergeCell ref="B114:G114"/>
    <mergeCell ref="B86:G86"/>
  </mergeCells>
  <phoneticPr fontId="59" type="noConversion"/>
  <conditionalFormatting sqref="G28">
    <cfRule type="colorScale" priority="15">
      <colorScale>
        <cfvo type="min"/>
        <cfvo type="max"/>
        <color rgb="FFFCFCFF"/>
        <color rgb="FF63BE7B"/>
      </colorScale>
    </cfRule>
  </conditionalFormatting>
  <conditionalFormatting sqref="G28">
    <cfRule type="colorScale" priority="14">
      <colorScale>
        <cfvo type="min"/>
        <cfvo type="percentile" val="50"/>
        <cfvo type="max"/>
        <color rgb="FFF8696B"/>
        <color rgb="FFFFEB84"/>
        <color rgb="FF63BE7B"/>
      </colorScale>
    </cfRule>
  </conditionalFormatting>
  <conditionalFormatting sqref="G28">
    <cfRule type="dataBar" priority="13">
      <dataBar>
        <cfvo type="min"/>
        <cfvo type="max"/>
        <color rgb="FF63C384"/>
      </dataBar>
      <extLst>
        <ext xmlns:x14="http://schemas.microsoft.com/office/spreadsheetml/2009/9/main" uri="{B025F937-C7B1-47D3-B67F-A62EFF666E3E}">
          <x14:id>{C4E4ED39-72E5-47BD-99C0-AA6D43FBBCCD}</x14:id>
        </ext>
      </extLst>
    </cfRule>
  </conditionalFormatting>
  <conditionalFormatting sqref="G56">
    <cfRule type="colorScale" priority="12">
      <colorScale>
        <cfvo type="min"/>
        <cfvo type="max"/>
        <color rgb="FFFCFCFF"/>
        <color rgb="FF63BE7B"/>
      </colorScale>
    </cfRule>
  </conditionalFormatting>
  <conditionalFormatting sqref="G56">
    <cfRule type="colorScale" priority="11">
      <colorScale>
        <cfvo type="min"/>
        <cfvo type="percentile" val="50"/>
        <cfvo type="max"/>
        <color rgb="FFF8696B"/>
        <color rgb="FFFFEB84"/>
        <color rgb="FF63BE7B"/>
      </colorScale>
    </cfRule>
  </conditionalFormatting>
  <conditionalFormatting sqref="G56">
    <cfRule type="dataBar" priority="10">
      <dataBar>
        <cfvo type="min"/>
        <cfvo type="max"/>
        <color rgb="FF63C384"/>
      </dataBar>
      <extLst>
        <ext xmlns:x14="http://schemas.microsoft.com/office/spreadsheetml/2009/9/main" uri="{B025F937-C7B1-47D3-B67F-A62EFF666E3E}">
          <x14:id>{1B1390C5-0948-40BE-B126-92888825AE47}</x14:id>
        </ext>
      </extLst>
    </cfRule>
  </conditionalFormatting>
  <conditionalFormatting sqref="G84">
    <cfRule type="colorScale" priority="9">
      <colorScale>
        <cfvo type="min"/>
        <cfvo type="max"/>
        <color rgb="FFFCFCFF"/>
        <color rgb="FF63BE7B"/>
      </colorScale>
    </cfRule>
  </conditionalFormatting>
  <conditionalFormatting sqref="G84">
    <cfRule type="colorScale" priority="8">
      <colorScale>
        <cfvo type="min"/>
        <cfvo type="percentile" val="50"/>
        <cfvo type="max"/>
        <color rgb="FFF8696B"/>
        <color rgb="FFFFEB84"/>
        <color rgb="FF63BE7B"/>
      </colorScale>
    </cfRule>
  </conditionalFormatting>
  <conditionalFormatting sqref="G84">
    <cfRule type="dataBar" priority="7">
      <dataBar>
        <cfvo type="min"/>
        <cfvo type="max"/>
        <color rgb="FF63C384"/>
      </dataBar>
      <extLst>
        <ext xmlns:x14="http://schemas.microsoft.com/office/spreadsheetml/2009/9/main" uri="{B025F937-C7B1-47D3-B67F-A62EFF666E3E}">
          <x14:id>{5BF8FAD0-8E23-4270-B85F-2A9704EFE19C}</x14:id>
        </ext>
      </extLst>
    </cfRule>
  </conditionalFormatting>
  <conditionalFormatting sqref="G112">
    <cfRule type="colorScale" priority="6">
      <colorScale>
        <cfvo type="min"/>
        <cfvo type="max"/>
        <color rgb="FFFCFCFF"/>
        <color rgb="FF63BE7B"/>
      </colorScale>
    </cfRule>
  </conditionalFormatting>
  <conditionalFormatting sqref="G112">
    <cfRule type="colorScale" priority="5">
      <colorScale>
        <cfvo type="min"/>
        <cfvo type="percentile" val="50"/>
        <cfvo type="max"/>
        <color rgb="FFF8696B"/>
        <color rgb="FFFFEB84"/>
        <color rgb="FF63BE7B"/>
      </colorScale>
    </cfRule>
  </conditionalFormatting>
  <conditionalFormatting sqref="G112">
    <cfRule type="dataBar" priority="4">
      <dataBar>
        <cfvo type="min"/>
        <cfvo type="max"/>
        <color rgb="FF63C384"/>
      </dataBar>
      <extLst>
        <ext xmlns:x14="http://schemas.microsoft.com/office/spreadsheetml/2009/9/main" uri="{B025F937-C7B1-47D3-B67F-A62EFF666E3E}">
          <x14:id>{FD9FE19D-3805-4BDE-9D28-B2E7C0B5BF4C}</x14:id>
        </ext>
      </extLst>
    </cfRule>
  </conditionalFormatting>
  <conditionalFormatting sqref="G140">
    <cfRule type="colorScale" priority="3">
      <colorScale>
        <cfvo type="min"/>
        <cfvo type="max"/>
        <color rgb="FFFCFCFF"/>
        <color rgb="FF63BE7B"/>
      </colorScale>
    </cfRule>
  </conditionalFormatting>
  <conditionalFormatting sqref="G140">
    <cfRule type="colorScale" priority="2">
      <colorScale>
        <cfvo type="min"/>
        <cfvo type="percentile" val="50"/>
        <cfvo type="max"/>
        <color rgb="FFF8696B"/>
        <color rgb="FFFFEB84"/>
        <color rgb="FF63BE7B"/>
      </colorScale>
    </cfRule>
  </conditionalFormatting>
  <conditionalFormatting sqref="G140">
    <cfRule type="dataBar" priority="1">
      <dataBar>
        <cfvo type="min"/>
        <cfvo type="max"/>
        <color rgb="FF63C384"/>
      </dataBar>
      <extLst>
        <ext xmlns:x14="http://schemas.microsoft.com/office/spreadsheetml/2009/9/main" uri="{B025F937-C7B1-47D3-B67F-A62EFF666E3E}">
          <x14:id>{6106C57B-49AC-4788-B5EF-D474BACC0695}</x14:id>
        </ext>
      </extLst>
    </cfRule>
  </conditionalFormatting>
  <hyperlinks>
    <hyperlink ref="B37" r:id="rId1"/>
    <hyperlink ref="B38" r:id="rId2"/>
    <hyperlink ref="A1" location="index!A1" display="Index"/>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C4E4ED39-72E5-47BD-99C0-AA6D43FBBCCD}">
            <x14:dataBar minLength="0" maxLength="100" border="1" negativeBarColorSameAsPositive="1" negativeBarBorderColorSameAsPositive="0" axisPosition="none">
              <x14:cfvo type="autoMin"/>
              <x14:cfvo type="autoMax"/>
              <x14:borderColor rgb="FF63C384"/>
              <x14:negativeBorderColor rgb="FF638EC6"/>
            </x14:dataBar>
          </x14:cfRule>
          <xm:sqref>G28</xm:sqref>
        </x14:conditionalFormatting>
        <x14:conditionalFormatting xmlns:xm="http://schemas.microsoft.com/office/excel/2006/main">
          <x14:cfRule type="dataBar" id="{1B1390C5-0948-40BE-B126-92888825AE47}">
            <x14:dataBar minLength="0" maxLength="100" border="1" negativeBarColorSameAsPositive="1" negativeBarBorderColorSameAsPositive="0" axisPosition="none">
              <x14:cfvo type="autoMin"/>
              <x14:cfvo type="autoMax"/>
              <x14:borderColor rgb="FF63C384"/>
              <x14:negativeBorderColor rgb="FF638EC6"/>
            </x14:dataBar>
          </x14:cfRule>
          <xm:sqref>G56</xm:sqref>
        </x14:conditionalFormatting>
        <x14:conditionalFormatting xmlns:xm="http://schemas.microsoft.com/office/excel/2006/main">
          <x14:cfRule type="dataBar" id="{5BF8FAD0-8E23-4270-B85F-2A9704EFE19C}">
            <x14:dataBar minLength="0" maxLength="100" border="1" negativeBarColorSameAsPositive="1" negativeBarBorderColorSameAsPositive="0" axisPosition="none">
              <x14:cfvo type="autoMin"/>
              <x14:cfvo type="autoMax"/>
              <x14:borderColor rgb="FF63C384"/>
              <x14:negativeBorderColor rgb="FF638EC6"/>
            </x14:dataBar>
          </x14:cfRule>
          <xm:sqref>G84</xm:sqref>
        </x14:conditionalFormatting>
        <x14:conditionalFormatting xmlns:xm="http://schemas.microsoft.com/office/excel/2006/main">
          <x14:cfRule type="dataBar" id="{FD9FE19D-3805-4BDE-9D28-B2E7C0B5BF4C}">
            <x14:dataBar minLength="0" maxLength="100" border="1" negativeBarColorSameAsPositive="1" negativeBarBorderColorSameAsPositive="0" axisPosition="none">
              <x14:cfvo type="autoMin"/>
              <x14:cfvo type="autoMax"/>
              <x14:borderColor rgb="FF63C384"/>
              <x14:negativeBorderColor rgb="FF638EC6"/>
            </x14:dataBar>
          </x14:cfRule>
          <xm:sqref>G112</xm:sqref>
        </x14:conditionalFormatting>
        <x14:conditionalFormatting xmlns:xm="http://schemas.microsoft.com/office/excel/2006/main">
          <x14:cfRule type="dataBar" id="{6106C57B-49AC-4788-B5EF-D474BACC0695}">
            <x14:dataBar minLength="0" maxLength="100" border="1" negativeBarColorSameAsPositive="1" negativeBarBorderColorSameAsPositive="0" axisPosition="none">
              <x14:cfvo type="autoMin"/>
              <x14:cfvo type="autoMax"/>
              <x14:borderColor rgb="FF63C384"/>
              <x14:negativeBorderColor rgb="FF638EC6"/>
            </x14:dataBar>
          </x14:cfRule>
          <xm:sqref>G140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R90"/>
  <sheetViews>
    <sheetView showGridLines="0" topLeftCell="F71" zoomScale="119" workbookViewId="0">
      <selection activeCell="H76" sqref="H76"/>
    </sheetView>
  </sheetViews>
  <sheetFormatPr baseColWidth="10" defaultColWidth="10.83203125" defaultRowHeight="16" x14ac:dyDescent="0.2"/>
  <cols>
    <col min="1" max="1" width="9.1640625" style="1016" customWidth="1"/>
    <col min="2" max="2" width="17.33203125" style="1016" customWidth="1"/>
    <col min="3" max="3" width="11.33203125" style="1016" customWidth="1"/>
    <col min="4" max="4" width="15.6640625" style="1016" customWidth="1"/>
    <col min="5" max="5" width="17.33203125" style="1016" customWidth="1"/>
    <col min="6" max="6" width="13.5" style="1016" customWidth="1"/>
    <col min="7" max="7" width="17" style="1016" bestFit="1" customWidth="1"/>
    <col min="8" max="8" width="18.6640625" style="1016" bestFit="1" customWidth="1"/>
    <col min="9" max="9" width="10.6640625" style="1016" customWidth="1"/>
    <col min="10" max="10" width="20.1640625" style="1183" customWidth="1"/>
    <col min="11" max="11" width="17.5" style="1016" customWidth="1"/>
    <col min="12" max="12" width="12" style="1016" customWidth="1"/>
    <col min="13" max="17" width="11" style="1016" bestFit="1" customWidth="1"/>
    <col min="18" max="16384" width="10.83203125" style="1016"/>
  </cols>
  <sheetData>
    <row r="1" spans="1:12" x14ac:dyDescent="0.2">
      <c r="A1" s="1663" t="s">
        <v>38</v>
      </c>
    </row>
    <row r="2" spans="1:12" ht="17" customHeight="1" x14ac:dyDescent="0.2">
      <c r="B2" s="2024" t="s">
        <v>462</v>
      </c>
    </row>
    <row r="3" spans="1:12" x14ac:dyDescent="0.2">
      <c r="B3" s="1142" t="s">
        <v>463</v>
      </c>
      <c r="C3" s="1144" t="s">
        <v>464</v>
      </c>
      <c r="D3" s="1144" t="s">
        <v>465</v>
      </c>
      <c r="E3" s="1144" t="s">
        <v>466</v>
      </c>
      <c r="F3" s="1144" t="s">
        <v>467</v>
      </c>
      <c r="G3" s="1149" t="s">
        <v>468</v>
      </c>
      <c r="H3" s="1100" t="s">
        <v>469</v>
      </c>
      <c r="J3" s="2084" t="s">
        <v>470</v>
      </c>
      <c r="K3" s="2007">
        <f>MAX(E4:E54)</f>
        <v>12.5</v>
      </c>
      <c r="L3" s="1181"/>
    </row>
    <row r="4" spans="1:12" x14ac:dyDescent="0.2">
      <c r="B4" s="1143" t="s">
        <v>471</v>
      </c>
      <c r="C4" s="1145">
        <v>32.806671000000001</v>
      </c>
      <c r="D4" s="1145">
        <v>-86.791129999999995</v>
      </c>
      <c r="E4" s="1147">
        <v>7.25</v>
      </c>
      <c r="F4" s="1185">
        <f>10*($K$3-E4)/($K$3-$K$4)</f>
        <v>7.1428571428571432</v>
      </c>
      <c r="G4" s="1146">
        <f t="shared" ref="G4:G35" si="0">C4*F4</f>
        <v>234.33336428571431</v>
      </c>
      <c r="H4" s="2091">
        <f t="shared" ref="H4:H35" si="1">D4*F4</f>
        <v>-619.93664285714283</v>
      </c>
      <c r="J4" s="2085" t="s">
        <v>472</v>
      </c>
      <c r="K4" s="2008">
        <f>MIN(E4:E54)</f>
        <v>5.15</v>
      </c>
    </row>
    <row r="5" spans="1:12" x14ac:dyDescent="0.2">
      <c r="B5" s="1143" t="s">
        <v>473</v>
      </c>
      <c r="C5" s="1145">
        <v>61.370716000000002</v>
      </c>
      <c r="D5" s="1145">
        <v>-152.40441899999999</v>
      </c>
      <c r="E5" s="1147">
        <v>9.8000000000000007</v>
      </c>
      <c r="F5" s="1185">
        <f t="shared" ref="F5:F53" si="2">10*($K$3-E5)/($K$3-$K$4)</f>
        <v>3.6734693877551012</v>
      </c>
      <c r="G5" s="1146">
        <f t="shared" si="0"/>
        <v>225.44344653061219</v>
      </c>
      <c r="H5" s="2091">
        <f t="shared" si="1"/>
        <v>-559.85296775510187</v>
      </c>
      <c r="I5" s="1182"/>
    </row>
    <row r="6" spans="1:12" x14ac:dyDescent="0.2">
      <c r="B6" s="1143" t="s">
        <v>474</v>
      </c>
      <c r="C6" s="1145">
        <v>33.729759000000001</v>
      </c>
      <c r="D6" s="1145">
        <v>-111.43122099999999</v>
      </c>
      <c r="E6" s="1147">
        <v>8.5</v>
      </c>
      <c r="F6" s="1185">
        <f t="shared" si="2"/>
        <v>5.4421768707482991</v>
      </c>
      <c r="G6" s="1146">
        <f t="shared" si="0"/>
        <v>183.56331428571428</v>
      </c>
      <c r="H6" s="2091">
        <f t="shared" si="1"/>
        <v>-606.42841360544207</v>
      </c>
      <c r="I6" s="1182"/>
    </row>
    <row r="7" spans="1:12" x14ac:dyDescent="0.2">
      <c r="B7" s="1143" t="s">
        <v>475</v>
      </c>
      <c r="C7" s="1145">
        <v>34.969704</v>
      </c>
      <c r="D7" s="1145">
        <v>-92.373123000000007</v>
      </c>
      <c r="E7" s="1147">
        <v>10</v>
      </c>
      <c r="F7" s="1185">
        <f t="shared" si="2"/>
        <v>3.4013605442176873</v>
      </c>
      <c r="G7" s="1146">
        <f t="shared" si="0"/>
        <v>118.94457142857144</v>
      </c>
      <c r="H7" s="2091">
        <f t="shared" si="1"/>
        <v>-314.1942959183674</v>
      </c>
      <c r="I7" s="1182"/>
    </row>
    <row r="8" spans="1:12" x14ac:dyDescent="0.2">
      <c r="B8" s="1143" t="s">
        <v>476</v>
      </c>
      <c r="C8" s="1145">
        <v>36.116202999999999</v>
      </c>
      <c r="D8" s="1145">
        <v>-119.68156399999999</v>
      </c>
      <c r="E8" s="1147">
        <v>10.5</v>
      </c>
      <c r="F8" s="1185">
        <f t="shared" si="2"/>
        <v>2.7210884353741496</v>
      </c>
      <c r="G8" s="1146">
        <f t="shared" si="0"/>
        <v>98.27538231292516</v>
      </c>
      <c r="H8" s="2091">
        <f t="shared" si="1"/>
        <v>-325.66411972789115</v>
      </c>
      <c r="I8" s="1182"/>
    </row>
    <row r="9" spans="1:12" x14ac:dyDescent="0.2">
      <c r="B9" s="1143" t="s">
        <v>477</v>
      </c>
      <c r="C9" s="1145">
        <v>39.059811000000003</v>
      </c>
      <c r="D9" s="1145">
        <v>-105.311104</v>
      </c>
      <c r="E9" s="1147">
        <v>9.3000000000000007</v>
      </c>
      <c r="F9" s="1185">
        <f t="shared" si="2"/>
        <v>4.353741496598639</v>
      </c>
      <c r="G9" s="1146">
        <f t="shared" si="0"/>
        <v>170.05632</v>
      </c>
      <c r="H9" s="2091">
        <f t="shared" si="1"/>
        <v>-458.4973235374149</v>
      </c>
      <c r="I9" s="1182"/>
    </row>
    <row r="10" spans="1:12" x14ac:dyDescent="0.2">
      <c r="B10" s="1143" t="s">
        <v>478</v>
      </c>
      <c r="C10" s="1145">
        <v>41.597782000000002</v>
      </c>
      <c r="D10" s="1145">
        <v>-72.755370999999997</v>
      </c>
      <c r="E10" s="1147">
        <v>10.1</v>
      </c>
      <c r="F10" s="1185">
        <f t="shared" si="2"/>
        <v>3.2653061224489801</v>
      </c>
      <c r="G10" s="1146">
        <f t="shared" si="0"/>
        <v>135.82949224489798</v>
      </c>
      <c r="H10" s="2091">
        <f t="shared" si="1"/>
        <v>-237.56855836734695</v>
      </c>
      <c r="I10" s="1182"/>
    </row>
    <row r="11" spans="1:12" x14ac:dyDescent="0.2">
      <c r="B11" s="1143" t="s">
        <v>479</v>
      </c>
      <c r="C11" s="1145">
        <v>39.318522999999999</v>
      </c>
      <c r="D11" s="1145">
        <v>-75.507141000000004</v>
      </c>
      <c r="E11" s="1147">
        <v>8.25</v>
      </c>
      <c r="F11" s="1185">
        <f t="shared" si="2"/>
        <v>5.7823129251700687</v>
      </c>
      <c r="G11" s="1146">
        <f t="shared" si="0"/>
        <v>227.35200374149662</v>
      </c>
      <c r="H11" s="2091">
        <f t="shared" si="1"/>
        <v>-436.60591734693884</v>
      </c>
      <c r="I11" s="1182"/>
    </row>
    <row r="12" spans="1:12" x14ac:dyDescent="0.2">
      <c r="B12" s="1143" t="s">
        <v>480</v>
      </c>
      <c r="C12" s="1145">
        <v>38.897438000000001</v>
      </c>
      <c r="D12" s="1145">
        <v>-77.026816999999994</v>
      </c>
      <c r="E12" s="1147">
        <v>12.5</v>
      </c>
      <c r="F12" s="1185">
        <f t="shared" si="2"/>
        <v>0</v>
      </c>
      <c r="G12" s="1146">
        <f t="shared" si="0"/>
        <v>0</v>
      </c>
      <c r="H12" s="2091">
        <f t="shared" si="1"/>
        <v>0</v>
      </c>
      <c r="I12" s="1182"/>
    </row>
    <row r="13" spans="1:12" x14ac:dyDescent="0.2">
      <c r="B13" s="1143" t="s">
        <v>481</v>
      </c>
      <c r="C13" s="1145">
        <v>27.766279000000001</v>
      </c>
      <c r="D13" s="1145">
        <v>-81.686783000000005</v>
      </c>
      <c r="E13" s="1147">
        <v>8.1</v>
      </c>
      <c r="F13" s="1185">
        <f t="shared" si="2"/>
        <v>5.9863945578231297</v>
      </c>
      <c r="G13" s="1146">
        <f t="shared" si="0"/>
        <v>166.21990149659865</v>
      </c>
      <c r="H13" s="2091">
        <f t="shared" si="1"/>
        <v>-489.00931319727897</v>
      </c>
      <c r="I13" s="1182"/>
    </row>
    <row r="14" spans="1:12" x14ac:dyDescent="0.2">
      <c r="B14" s="1373" t="s">
        <v>482</v>
      </c>
      <c r="C14" s="1374">
        <v>33.040619</v>
      </c>
      <c r="D14" s="1374">
        <v>-83.643073999999999</v>
      </c>
      <c r="E14" s="1375">
        <v>5.15</v>
      </c>
      <c r="F14" s="1426">
        <f t="shared" si="2"/>
        <v>10</v>
      </c>
      <c r="G14" s="1372">
        <f t="shared" si="0"/>
        <v>330.40618999999998</v>
      </c>
      <c r="H14" s="2092">
        <f t="shared" si="1"/>
        <v>-836.43074000000001</v>
      </c>
      <c r="I14" s="1182"/>
    </row>
    <row r="15" spans="1:12" x14ac:dyDescent="0.2">
      <c r="B15" s="1143" t="s">
        <v>483</v>
      </c>
      <c r="C15" s="1145">
        <v>21.094318000000001</v>
      </c>
      <c r="D15" s="1145">
        <v>-157.49833699999999</v>
      </c>
      <c r="E15" s="1147">
        <v>9.25</v>
      </c>
      <c r="F15" s="1185">
        <f t="shared" si="2"/>
        <v>4.4217687074829932</v>
      </c>
      <c r="G15" s="1146">
        <f t="shared" si="0"/>
        <v>93.274195238095245</v>
      </c>
      <c r="H15" s="2091">
        <f t="shared" si="1"/>
        <v>-696.4212180272109</v>
      </c>
      <c r="I15" s="1182"/>
    </row>
    <row r="16" spans="1:12" x14ac:dyDescent="0.2">
      <c r="B16" s="1143" t="s">
        <v>484</v>
      </c>
      <c r="C16" s="1145">
        <v>44.240459000000001</v>
      </c>
      <c r="D16" s="1145">
        <v>-114.47882799999999</v>
      </c>
      <c r="E16" s="1147">
        <v>7.25</v>
      </c>
      <c r="F16" s="1185">
        <f t="shared" si="2"/>
        <v>7.1428571428571432</v>
      </c>
      <c r="G16" s="1146">
        <f t="shared" si="0"/>
        <v>316.00327857142861</v>
      </c>
      <c r="H16" s="2091">
        <f t="shared" si="1"/>
        <v>-817.70591428571424</v>
      </c>
      <c r="I16" s="1182"/>
    </row>
    <row r="17" spans="2:18" x14ac:dyDescent="0.2">
      <c r="B17" s="1143" t="s">
        <v>485</v>
      </c>
      <c r="C17" s="1145">
        <v>40.349457000000001</v>
      </c>
      <c r="D17" s="1145">
        <v>-88.986136999999999</v>
      </c>
      <c r="E17" s="1147">
        <v>8.25</v>
      </c>
      <c r="F17" s="1185">
        <f t="shared" si="2"/>
        <v>5.7823129251700687</v>
      </c>
      <c r="G17" s="1146">
        <f t="shared" si="0"/>
        <v>233.31318673469391</v>
      </c>
      <c r="H17" s="2091">
        <f t="shared" si="1"/>
        <v>-514.54569013605453</v>
      </c>
      <c r="I17" s="1182"/>
    </row>
    <row r="18" spans="2:18" x14ac:dyDescent="0.2">
      <c r="B18" s="1143" t="s">
        <v>486</v>
      </c>
      <c r="C18" s="1145">
        <v>39.849426000000001</v>
      </c>
      <c r="D18" s="1145">
        <v>-86.258278000000004</v>
      </c>
      <c r="E18" s="1147">
        <v>7.25</v>
      </c>
      <c r="F18" s="1185">
        <f t="shared" si="2"/>
        <v>7.1428571428571432</v>
      </c>
      <c r="G18" s="1146">
        <f t="shared" si="0"/>
        <v>284.63875714285717</v>
      </c>
      <c r="H18" s="2091">
        <f t="shared" si="1"/>
        <v>-616.13055714285724</v>
      </c>
      <c r="I18" s="1182"/>
    </row>
    <row r="19" spans="2:18" x14ac:dyDescent="0.2">
      <c r="B19" s="1143" t="s">
        <v>487</v>
      </c>
      <c r="C19" s="1145">
        <v>42.011538999999999</v>
      </c>
      <c r="D19" s="1145">
        <v>-93.210526000000002</v>
      </c>
      <c r="E19" s="1147">
        <v>7.25</v>
      </c>
      <c r="F19" s="1185">
        <f t="shared" si="2"/>
        <v>7.1428571428571432</v>
      </c>
      <c r="G19" s="1146">
        <f t="shared" si="0"/>
        <v>300.08242142857142</v>
      </c>
      <c r="H19" s="2091">
        <f t="shared" si="1"/>
        <v>-665.78947142857146</v>
      </c>
      <c r="I19" s="1182"/>
    </row>
    <row r="20" spans="2:18" x14ac:dyDescent="0.2">
      <c r="B20" s="1143" t="s">
        <v>488</v>
      </c>
      <c r="C20" s="1145">
        <v>38.526600000000002</v>
      </c>
      <c r="D20" s="1145">
        <v>-96.726485999999994</v>
      </c>
      <c r="E20" s="1147">
        <v>7.25</v>
      </c>
      <c r="F20" s="1185">
        <f t="shared" si="2"/>
        <v>7.1428571428571432</v>
      </c>
      <c r="G20" s="1146">
        <f t="shared" si="0"/>
        <v>275.19000000000005</v>
      </c>
      <c r="H20" s="2091">
        <f t="shared" si="1"/>
        <v>-690.90347142857138</v>
      </c>
      <c r="I20" s="1182"/>
    </row>
    <row r="21" spans="2:18" x14ac:dyDescent="0.2">
      <c r="B21" s="1143" t="s">
        <v>489</v>
      </c>
      <c r="C21" s="1145">
        <v>37.668140000000001</v>
      </c>
      <c r="D21" s="1145">
        <v>-84.670067000000003</v>
      </c>
      <c r="E21" s="1147">
        <v>7.25</v>
      </c>
      <c r="F21" s="1185">
        <f t="shared" si="2"/>
        <v>7.1428571428571432</v>
      </c>
      <c r="G21" s="1146">
        <f t="shared" si="0"/>
        <v>269.05814285714285</v>
      </c>
      <c r="H21" s="2091">
        <f t="shared" si="1"/>
        <v>-604.78619285714296</v>
      </c>
      <c r="I21" s="1182"/>
    </row>
    <row r="22" spans="2:18" x14ac:dyDescent="0.2">
      <c r="B22" s="1143" t="s">
        <v>490</v>
      </c>
      <c r="C22" s="1145">
        <v>31.169546</v>
      </c>
      <c r="D22" s="1145">
        <v>-91.867805000000004</v>
      </c>
      <c r="E22" s="1148">
        <v>7.25</v>
      </c>
      <c r="F22" s="1185">
        <f t="shared" si="2"/>
        <v>7.1428571428571432</v>
      </c>
      <c r="G22" s="1146">
        <f t="shared" si="0"/>
        <v>222.63961428571429</v>
      </c>
      <c r="H22" s="2091">
        <f t="shared" si="1"/>
        <v>-656.19860714285721</v>
      </c>
      <c r="I22" s="1182"/>
    </row>
    <row r="23" spans="2:18" x14ac:dyDescent="0.2">
      <c r="B23" s="1143" t="s">
        <v>491</v>
      </c>
      <c r="C23" s="1145">
        <v>44.693947000000001</v>
      </c>
      <c r="D23" s="1145">
        <v>-69.381927000000005</v>
      </c>
      <c r="E23" s="1148">
        <v>9</v>
      </c>
      <c r="F23" s="1185">
        <f t="shared" si="2"/>
        <v>4.7619047619047619</v>
      </c>
      <c r="G23" s="1146">
        <f t="shared" si="0"/>
        <v>212.82831904761906</v>
      </c>
      <c r="H23" s="2091">
        <f t="shared" si="1"/>
        <v>-330.39012857142859</v>
      </c>
      <c r="I23" s="1182"/>
    </row>
    <row r="24" spans="2:18" x14ac:dyDescent="0.2">
      <c r="B24" s="1143" t="s">
        <v>492</v>
      </c>
      <c r="C24" s="1145">
        <v>39.063946000000001</v>
      </c>
      <c r="D24" s="1145">
        <v>-76.802100999999993</v>
      </c>
      <c r="E24" s="1148">
        <v>9.25</v>
      </c>
      <c r="F24" s="1185">
        <f t="shared" si="2"/>
        <v>4.4217687074829932</v>
      </c>
      <c r="G24" s="1146">
        <f t="shared" si="0"/>
        <v>172.73173401360546</v>
      </c>
      <c r="H24" s="2091">
        <f t="shared" si="1"/>
        <v>-339.60112687074826</v>
      </c>
      <c r="I24" s="1182"/>
    </row>
    <row r="25" spans="2:18" x14ac:dyDescent="0.2">
      <c r="B25" s="1143" t="s">
        <v>493</v>
      </c>
      <c r="C25" s="1145">
        <v>42.230170999999999</v>
      </c>
      <c r="D25" s="1145">
        <v>-71.530106000000004</v>
      </c>
      <c r="E25" s="1148">
        <v>11</v>
      </c>
      <c r="F25" s="1185">
        <f t="shared" si="2"/>
        <v>2.0408163265306123</v>
      </c>
      <c r="G25" s="1146">
        <f t="shared" si="0"/>
        <v>86.18402244897959</v>
      </c>
      <c r="H25" s="2091">
        <f t="shared" si="1"/>
        <v>-145.97980816326532</v>
      </c>
      <c r="I25" s="1182"/>
    </row>
    <row r="26" spans="2:18" x14ac:dyDescent="0.2">
      <c r="B26" s="1143" t="s">
        <v>494</v>
      </c>
      <c r="C26" s="1145">
        <v>43.326618000000003</v>
      </c>
      <c r="D26" s="1145">
        <v>-84.536095000000003</v>
      </c>
      <c r="E26" s="1148">
        <v>8.9</v>
      </c>
      <c r="F26" s="1185">
        <f t="shared" si="2"/>
        <v>4.8979591836734695</v>
      </c>
      <c r="G26" s="1146">
        <f t="shared" si="0"/>
        <v>212.21200653061226</v>
      </c>
      <c r="H26" s="2091">
        <f t="shared" si="1"/>
        <v>-414.0543428571429</v>
      </c>
      <c r="I26" s="1182"/>
      <c r="R26" s="1016" t="s">
        <v>495</v>
      </c>
    </row>
    <row r="27" spans="2:18" x14ac:dyDescent="0.2">
      <c r="B27" s="1143" t="s">
        <v>496</v>
      </c>
      <c r="C27" s="1145">
        <v>45.694454</v>
      </c>
      <c r="D27" s="1145">
        <v>-93.900192000000004</v>
      </c>
      <c r="E27" s="1148">
        <v>9.5</v>
      </c>
      <c r="F27" s="1185">
        <f t="shared" si="2"/>
        <v>4.0816326530612246</v>
      </c>
      <c r="G27" s="1146">
        <f t="shared" si="0"/>
        <v>186.50797551020409</v>
      </c>
      <c r="H27" s="2091">
        <f t="shared" si="1"/>
        <v>-383.26608979591839</v>
      </c>
      <c r="I27" s="1182"/>
    </row>
    <row r="28" spans="2:18" x14ac:dyDescent="0.2">
      <c r="B28" s="1143" t="s">
        <v>497</v>
      </c>
      <c r="C28" s="1145">
        <v>32.741646000000003</v>
      </c>
      <c r="D28" s="1145">
        <v>-89.678696000000002</v>
      </c>
      <c r="E28" s="1148">
        <v>7.25</v>
      </c>
      <c r="F28" s="1185">
        <f t="shared" si="2"/>
        <v>7.1428571428571432</v>
      </c>
      <c r="G28" s="1146">
        <f t="shared" si="0"/>
        <v>233.86890000000002</v>
      </c>
      <c r="H28" s="2091">
        <f t="shared" si="1"/>
        <v>-640.5621142857143</v>
      </c>
      <c r="I28" s="1182"/>
    </row>
    <row r="29" spans="2:18" x14ac:dyDescent="0.2">
      <c r="B29" s="1143" t="s">
        <v>498</v>
      </c>
      <c r="C29" s="1145">
        <v>38.456085000000002</v>
      </c>
      <c r="D29" s="1145">
        <v>-92.288368000000006</v>
      </c>
      <c r="E29" s="1148">
        <v>7.7</v>
      </c>
      <c r="F29" s="1185">
        <f t="shared" si="2"/>
        <v>6.5306122448979593</v>
      </c>
      <c r="G29" s="1146">
        <f t="shared" si="0"/>
        <v>251.14177959183675</v>
      </c>
      <c r="H29" s="2091">
        <f t="shared" si="1"/>
        <v>-602.69954612244908</v>
      </c>
      <c r="I29" s="1182"/>
    </row>
    <row r="30" spans="2:18" x14ac:dyDescent="0.2">
      <c r="B30" s="1143" t="s">
        <v>499</v>
      </c>
      <c r="C30" s="1145">
        <v>46.921925000000002</v>
      </c>
      <c r="D30" s="1145">
        <v>-110.454353</v>
      </c>
      <c r="E30" s="1148">
        <v>8.15</v>
      </c>
      <c r="F30" s="1185">
        <f t="shared" si="2"/>
        <v>5.9183673469387754</v>
      </c>
      <c r="G30" s="1146">
        <f t="shared" si="0"/>
        <v>277.70118877551022</v>
      </c>
      <c r="H30" s="2091">
        <f t="shared" si="1"/>
        <v>-653.70943612244901</v>
      </c>
      <c r="I30" s="1182"/>
    </row>
    <row r="31" spans="2:18" x14ac:dyDescent="0.2">
      <c r="B31" s="1143" t="s">
        <v>500</v>
      </c>
      <c r="C31" s="1145">
        <v>41.125369999999997</v>
      </c>
      <c r="D31" s="1145">
        <v>-98.268082000000007</v>
      </c>
      <c r="E31" s="1148">
        <v>9</v>
      </c>
      <c r="F31" s="1185">
        <f t="shared" si="2"/>
        <v>4.7619047619047619</v>
      </c>
      <c r="G31" s="1146">
        <f t="shared" si="0"/>
        <v>195.83509523809522</v>
      </c>
      <c r="H31" s="2091">
        <f t="shared" si="1"/>
        <v>-467.94324761904767</v>
      </c>
      <c r="I31" s="1182"/>
    </row>
    <row r="32" spans="2:18" x14ac:dyDescent="0.2">
      <c r="B32" s="1143" t="s">
        <v>501</v>
      </c>
      <c r="C32" s="1145">
        <v>38.313515000000002</v>
      </c>
      <c r="D32" s="1145">
        <v>-117.055374</v>
      </c>
      <c r="E32" s="1148">
        <v>8.25</v>
      </c>
      <c r="F32" s="1185">
        <f>10*($K$3-E32)/($K$3-$K$4)</f>
        <v>5.7823129251700687</v>
      </c>
      <c r="G32" s="1146">
        <f t="shared" si="0"/>
        <v>221.54073299319731</v>
      </c>
      <c r="H32" s="2091">
        <f t="shared" si="1"/>
        <v>-676.85080204081646</v>
      </c>
      <c r="I32" s="1182"/>
    </row>
    <row r="33" spans="2:9" ht="16.25" customHeight="1" x14ac:dyDescent="0.2">
      <c r="B33" s="1143" t="s">
        <v>502</v>
      </c>
      <c r="C33" s="1145">
        <v>43.452491999999999</v>
      </c>
      <c r="D33" s="1145">
        <v>-71.563896</v>
      </c>
      <c r="E33" s="1148">
        <v>7.25</v>
      </c>
      <c r="F33" s="1185">
        <f t="shared" si="2"/>
        <v>7.1428571428571432</v>
      </c>
      <c r="G33" s="1146">
        <f t="shared" si="0"/>
        <v>310.37494285714286</v>
      </c>
      <c r="H33" s="2091">
        <f t="shared" si="1"/>
        <v>-511.17068571428575</v>
      </c>
      <c r="I33" s="1182"/>
    </row>
    <row r="34" spans="2:9" x14ac:dyDescent="0.2">
      <c r="B34" s="1143" t="s">
        <v>503</v>
      </c>
      <c r="C34" s="1145">
        <v>40.298904</v>
      </c>
      <c r="D34" s="1145">
        <v>-74.521011000000001</v>
      </c>
      <c r="E34" s="1148">
        <v>8.44</v>
      </c>
      <c r="F34" s="1185">
        <f t="shared" si="2"/>
        <v>5.5238095238095255</v>
      </c>
      <c r="G34" s="1146">
        <f t="shared" si="0"/>
        <v>222.60346971428578</v>
      </c>
      <c r="H34" s="2091">
        <f t="shared" si="1"/>
        <v>-411.63987028571444</v>
      </c>
      <c r="I34" s="1182"/>
    </row>
    <row r="35" spans="2:9" x14ac:dyDescent="0.2">
      <c r="B35" s="1143" t="s">
        <v>504</v>
      </c>
      <c r="C35" s="1145">
        <v>34.840515000000003</v>
      </c>
      <c r="D35" s="1145">
        <v>-106.248482</v>
      </c>
      <c r="E35" s="1148">
        <v>7.5</v>
      </c>
      <c r="F35" s="1185">
        <f t="shared" si="2"/>
        <v>6.8027210884353746</v>
      </c>
      <c r="G35" s="1146">
        <f t="shared" si="0"/>
        <v>237.01030612244901</v>
      </c>
      <c r="H35" s="2091">
        <f t="shared" si="1"/>
        <v>-722.7787891156463</v>
      </c>
      <c r="I35" s="1182"/>
    </row>
    <row r="36" spans="2:9" x14ac:dyDescent="0.2">
      <c r="B36" s="1143" t="s">
        <v>505</v>
      </c>
      <c r="C36" s="1145">
        <v>42.165725999999999</v>
      </c>
      <c r="D36" s="1145">
        <v>-74.948051000000007</v>
      </c>
      <c r="E36" s="1148">
        <v>9.6999999999999993</v>
      </c>
      <c r="F36" s="1185">
        <f t="shared" si="2"/>
        <v>3.8095238095238106</v>
      </c>
      <c r="G36" s="1146">
        <f t="shared" ref="G36:G54" si="3">C36*F36</f>
        <v>160.63133714285718</v>
      </c>
      <c r="H36" s="2091">
        <f t="shared" ref="H36:H54" si="4">D36*F36</f>
        <v>-285.51638476190487</v>
      </c>
      <c r="I36" s="1182"/>
    </row>
    <row r="37" spans="2:9" x14ac:dyDescent="0.2">
      <c r="B37" s="1143" t="s">
        <v>506</v>
      </c>
      <c r="C37" s="1145">
        <v>35.630065999999999</v>
      </c>
      <c r="D37" s="1145">
        <v>-79.806419000000005</v>
      </c>
      <c r="E37" s="1148">
        <v>7.25</v>
      </c>
      <c r="F37" s="1185">
        <f t="shared" si="2"/>
        <v>7.1428571428571432</v>
      </c>
      <c r="G37" s="1146">
        <f t="shared" si="3"/>
        <v>254.50047142857144</v>
      </c>
      <c r="H37" s="2091">
        <f t="shared" si="4"/>
        <v>-570.04585000000009</v>
      </c>
      <c r="I37" s="1182"/>
    </row>
    <row r="38" spans="2:9" x14ac:dyDescent="0.2">
      <c r="B38" s="1143" t="s">
        <v>507</v>
      </c>
      <c r="C38" s="1145">
        <v>47.528911999999998</v>
      </c>
      <c r="D38" s="1145">
        <v>-99.784012000000004</v>
      </c>
      <c r="E38" s="1148">
        <v>7.25</v>
      </c>
      <c r="F38" s="1185">
        <f t="shared" si="2"/>
        <v>7.1428571428571432</v>
      </c>
      <c r="G38" s="1146">
        <f t="shared" si="3"/>
        <v>339.4922285714286</v>
      </c>
      <c r="H38" s="2091">
        <f t="shared" si="4"/>
        <v>-712.74294285714291</v>
      </c>
      <c r="I38" s="1182"/>
    </row>
    <row r="39" spans="2:9" x14ac:dyDescent="0.2">
      <c r="B39" s="1143" t="s">
        <v>508</v>
      </c>
      <c r="C39" s="1145">
        <v>40.388782999999997</v>
      </c>
      <c r="D39" s="1145">
        <v>-82.764915000000002</v>
      </c>
      <c r="E39" s="1148">
        <v>8.15</v>
      </c>
      <c r="F39" s="1185">
        <f t="shared" si="2"/>
        <v>5.9183673469387754</v>
      </c>
      <c r="G39" s="1146">
        <f t="shared" si="3"/>
        <v>239.03565448979589</v>
      </c>
      <c r="H39" s="2091">
        <f t="shared" si="4"/>
        <v>-489.83317040816326</v>
      </c>
      <c r="I39" s="1182"/>
    </row>
    <row r="40" spans="2:9" x14ac:dyDescent="0.2">
      <c r="B40" s="1143" t="s">
        <v>509</v>
      </c>
      <c r="C40" s="1145">
        <v>35.565342000000001</v>
      </c>
      <c r="D40" s="1145">
        <v>-96.928916999999998</v>
      </c>
      <c r="E40" s="1148">
        <v>7.25</v>
      </c>
      <c r="F40" s="1185">
        <f t="shared" si="2"/>
        <v>7.1428571428571432</v>
      </c>
      <c r="G40" s="1146">
        <f t="shared" si="3"/>
        <v>254.03815714285716</v>
      </c>
      <c r="H40" s="2091">
        <f t="shared" si="4"/>
        <v>-692.34940714285722</v>
      </c>
      <c r="I40" s="1182"/>
    </row>
    <row r="41" spans="2:9" x14ac:dyDescent="0.2">
      <c r="B41" s="1143" t="s">
        <v>510</v>
      </c>
      <c r="C41" s="1145">
        <v>44.572020999999999</v>
      </c>
      <c r="D41" s="1145">
        <v>-122.070938</v>
      </c>
      <c r="E41" s="1148">
        <v>10.25</v>
      </c>
      <c r="F41" s="1185">
        <f t="shared" si="2"/>
        <v>3.0612244897959187</v>
      </c>
      <c r="G41" s="1146">
        <f t="shared" si="3"/>
        <v>136.44496224489797</v>
      </c>
      <c r="H41" s="2091">
        <f t="shared" si="4"/>
        <v>-373.68654489795921</v>
      </c>
      <c r="I41" s="1182"/>
    </row>
    <row r="42" spans="2:9" x14ac:dyDescent="0.2">
      <c r="B42" s="1143" t="s">
        <v>511</v>
      </c>
      <c r="C42" s="1145">
        <v>40.590752000000002</v>
      </c>
      <c r="D42" s="1145">
        <v>-77.209755000000001</v>
      </c>
      <c r="E42" s="1148">
        <v>7.25</v>
      </c>
      <c r="F42" s="1185">
        <f t="shared" si="2"/>
        <v>7.1428571428571432</v>
      </c>
      <c r="G42" s="1146">
        <f t="shared" si="3"/>
        <v>289.93394285714288</v>
      </c>
      <c r="H42" s="2091">
        <f t="shared" si="4"/>
        <v>-551.49824999999998</v>
      </c>
      <c r="I42" s="1182"/>
    </row>
    <row r="43" spans="2:9" x14ac:dyDescent="0.2">
      <c r="B43" s="1143" t="s">
        <v>512</v>
      </c>
      <c r="C43" s="1145">
        <v>41.680892999999998</v>
      </c>
      <c r="D43" s="1145">
        <v>-71.511780000000002</v>
      </c>
      <c r="E43" s="1148">
        <v>9.6</v>
      </c>
      <c r="F43" s="1185">
        <f t="shared" si="2"/>
        <v>3.9455782312925178</v>
      </c>
      <c r="G43" s="1146">
        <f t="shared" si="3"/>
        <v>164.45522408163268</v>
      </c>
      <c r="H43" s="2091">
        <f t="shared" si="4"/>
        <v>-282.15532244897963</v>
      </c>
      <c r="I43" s="1182"/>
    </row>
    <row r="44" spans="2:9" x14ac:dyDescent="0.2">
      <c r="B44" s="1143" t="s">
        <v>513</v>
      </c>
      <c r="C44" s="1145">
        <v>33.856892000000002</v>
      </c>
      <c r="D44" s="1145">
        <v>-80.945007000000004</v>
      </c>
      <c r="E44" s="1148">
        <v>7.25</v>
      </c>
      <c r="F44" s="1185">
        <f t="shared" si="2"/>
        <v>7.1428571428571432</v>
      </c>
      <c r="G44" s="1146">
        <f t="shared" si="3"/>
        <v>241.83494285714289</v>
      </c>
      <c r="H44" s="2091">
        <f t="shared" si="4"/>
        <v>-578.17862142857143</v>
      </c>
      <c r="I44" s="1182"/>
    </row>
    <row r="45" spans="2:9" x14ac:dyDescent="0.2">
      <c r="B45" s="1143" t="s">
        <v>514</v>
      </c>
      <c r="C45" s="1145">
        <v>44.299782</v>
      </c>
      <c r="D45" s="1145">
        <v>-99.438828000000001</v>
      </c>
      <c r="E45" s="1148">
        <v>8.65</v>
      </c>
      <c r="F45" s="1185">
        <f t="shared" si="2"/>
        <v>5.2380952380952381</v>
      </c>
      <c r="G45" s="1146">
        <f t="shared" si="3"/>
        <v>232.04647714285716</v>
      </c>
      <c r="H45" s="2091">
        <f t="shared" si="4"/>
        <v>-520.8700514285714</v>
      </c>
      <c r="I45" s="1182"/>
    </row>
    <row r="46" spans="2:9" x14ac:dyDescent="0.2">
      <c r="B46" s="1143" t="s">
        <v>515</v>
      </c>
      <c r="C46" s="1145">
        <v>35.747844999999998</v>
      </c>
      <c r="D46" s="1145">
        <v>-86.692345000000003</v>
      </c>
      <c r="E46" s="1148">
        <v>7.25</v>
      </c>
      <c r="F46" s="1185">
        <f t="shared" si="2"/>
        <v>7.1428571428571432</v>
      </c>
      <c r="G46" s="1146">
        <f t="shared" si="3"/>
        <v>255.34174999999999</v>
      </c>
      <c r="H46" s="2091">
        <f t="shared" si="4"/>
        <v>-619.23103571428578</v>
      </c>
      <c r="I46" s="1182"/>
    </row>
    <row r="47" spans="2:9" x14ac:dyDescent="0.2">
      <c r="B47" s="1143" t="s">
        <v>516</v>
      </c>
      <c r="C47" s="1145">
        <v>31.054487000000002</v>
      </c>
      <c r="D47" s="1145">
        <v>-97.563461000000004</v>
      </c>
      <c r="E47" s="1148">
        <v>7.25</v>
      </c>
      <c r="F47" s="1185">
        <f t="shared" si="2"/>
        <v>7.1428571428571432</v>
      </c>
      <c r="G47" s="1146">
        <f t="shared" si="3"/>
        <v>221.8177642857143</v>
      </c>
      <c r="H47" s="2091">
        <f t="shared" si="4"/>
        <v>-696.8818642857143</v>
      </c>
      <c r="I47" s="1182"/>
    </row>
    <row r="48" spans="2:9" x14ac:dyDescent="0.2">
      <c r="B48" s="1143" t="s">
        <v>517</v>
      </c>
      <c r="C48" s="1145">
        <v>40.150032000000003</v>
      </c>
      <c r="D48" s="1145">
        <v>-111.86243399999999</v>
      </c>
      <c r="E48" s="1148">
        <v>7.25</v>
      </c>
      <c r="F48" s="1185">
        <f t="shared" si="2"/>
        <v>7.1428571428571432</v>
      </c>
      <c r="G48" s="1146">
        <f t="shared" si="3"/>
        <v>286.78594285714291</v>
      </c>
      <c r="H48" s="2091">
        <f t="shared" si="4"/>
        <v>-799.01738571428575</v>
      </c>
      <c r="I48" s="1182"/>
    </row>
    <row r="49" spans="2:12" x14ac:dyDescent="0.2">
      <c r="B49" s="1143" t="s">
        <v>518</v>
      </c>
      <c r="C49" s="1145">
        <v>44.045876</v>
      </c>
      <c r="D49" s="1145">
        <v>-72.710685999999995</v>
      </c>
      <c r="E49" s="1148">
        <v>10</v>
      </c>
      <c r="F49" s="1185">
        <f t="shared" si="2"/>
        <v>3.4013605442176873</v>
      </c>
      <c r="G49" s="1146">
        <f t="shared" si="3"/>
        <v>149.81590476190476</v>
      </c>
      <c r="H49" s="2091">
        <f t="shared" si="4"/>
        <v>-247.31525850340137</v>
      </c>
      <c r="I49" s="1182"/>
    </row>
    <row r="50" spans="2:12" x14ac:dyDescent="0.2">
      <c r="B50" s="1143" t="s">
        <v>519</v>
      </c>
      <c r="C50" s="1145">
        <v>37.769337</v>
      </c>
      <c r="D50" s="1145">
        <v>-78.169967999999997</v>
      </c>
      <c r="E50" s="1148">
        <v>7.25</v>
      </c>
      <c r="F50" s="1185">
        <f t="shared" si="2"/>
        <v>7.1428571428571432</v>
      </c>
      <c r="G50" s="1146">
        <f t="shared" si="3"/>
        <v>269.78097857142859</v>
      </c>
      <c r="H50" s="2091">
        <f t="shared" si="4"/>
        <v>-558.35691428571431</v>
      </c>
      <c r="I50" s="1182"/>
    </row>
    <row r="51" spans="2:12" x14ac:dyDescent="0.2">
      <c r="B51" s="1143" t="s">
        <v>520</v>
      </c>
      <c r="C51" s="1145">
        <v>47.400902000000002</v>
      </c>
      <c r="D51" s="1145">
        <v>-121.490494</v>
      </c>
      <c r="E51" s="1148">
        <v>11</v>
      </c>
      <c r="F51" s="1185">
        <f>10*($K$3-E51)/($K$3-$K$4)</f>
        <v>2.0408163265306123</v>
      </c>
      <c r="G51" s="1146">
        <f t="shared" si="3"/>
        <v>96.736534693877559</v>
      </c>
      <c r="H51" s="2091">
        <f t="shared" si="4"/>
        <v>-247.93978367346938</v>
      </c>
      <c r="I51" s="1182"/>
    </row>
    <row r="52" spans="2:12" x14ac:dyDescent="0.2">
      <c r="B52" s="1143" t="s">
        <v>521</v>
      </c>
      <c r="C52" s="1145">
        <v>38.491225999999997</v>
      </c>
      <c r="D52" s="1145">
        <v>-80.954453000000001</v>
      </c>
      <c r="E52" s="1148">
        <v>8.75</v>
      </c>
      <c r="F52" s="1185">
        <f t="shared" si="2"/>
        <v>5.1020408163265305</v>
      </c>
      <c r="G52" s="1146">
        <f t="shared" si="3"/>
        <v>196.38380612244896</v>
      </c>
      <c r="H52" s="2091">
        <f t="shared" si="4"/>
        <v>-413.03292346938775</v>
      </c>
      <c r="I52" s="1182"/>
    </row>
    <row r="53" spans="2:12" x14ac:dyDescent="0.2">
      <c r="B53" s="1143" t="s">
        <v>522</v>
      </c>
      <c r="C53" s="1145">
        <v>44.268543000000001</v>
      </c>
      <c r="D53" s="1145">
        <v>-89.616507999999996</v>
      </c>
      <c r="E53" s="1148">
        <v>7.25</v>
      </c>
      <c r="F53" s="1185">
        <f t="shared" si="2"/>
        <v>7.1428571428571432</v>
      </c>
      <c r="G53" s="1146">
        <f t="shared" si="3"/>
        <v>316.20387857142862</v>
      </c>
      <c r="H53" s="2091">
        <f t="shared" si="4"/>
        <v>-640.11791428571428</v>
      </c>
      <c r="I53" s="1182"/>
    </row>
    <row r="54" spans="2:12" x14ac:dyDescent="0.2">
      <c r="B54" s="1368" t="s">
        <v>523</v>
      </c>
      <c r="C54" s="1369">
        <v>42.755966000000001</v>
      </c>
      <c r="D54" s="1369">
        <v>-107.30249000000001</v>
      </c>
      <c r="E54" s="1370">
        <v>5.15</v>
      </c>
      <c r="F54" s="1371">
        <f>10*($K$3-E54)/($K$3-$K$4)</f>
        <v>10</v>
      </c>
      <c r="G54" s="1372">
        <f t="shared" si="3"/>
        <v>427.55966000000001</v>
      </c>
      <c r="H54" s="2092">
        <f t="shared" si="4"/>
        <v>-1073.0249000000001</v>
      </c>
      <c r="I54" s="1182"/>
      <c r="J54" s="2929" t="s">
        <v>524</v>
      </c>
      <c r="K54" s="2929"/>
      <c r="L54" s="2929"/>
    </row>
    <row r="55" spans="2:12" x14ac:dyDescent="0.2">
      <c r="B55" s="2093"/>
      <c r="C55" s="2094"/>
      <c r="D55" s="2094"/>
      <c r="E55" s="2094"/>
      <c r="F55" s="2095">
        <f>SUM(F4:F54)</f>
        <v>288.58503401360537</v>
      </c>
      <c r="G55" s="2096">
        <f>SUM(G4:G53)/F55</f>
        <v>37.460168543397302</v>
      </c>
      <c r="H55" s="2097">
        <f>SUM(H4:H54)/F55</f>
        <v>-92.863824415680583</v>
      </c>
      <c r="J55" s="2929"/>
      <c r="K55" s="2929"/>
      <c r="L55" s="2929"/>
    </row>
    <row r="56" spans="2:12" x14ac:dyDescent="0.2">
      <c r="F56" s="1016" t="s">
        <v>525</v>
      </c>
      <c r="G56" s="1016" t="s">
        <v>526</v>
      </c>
    </row>
    <row r="57" spans="2:12" x14ac:dyDescent="0.2">
      <c r="B57" s="2024" t="s">
        <v>527</v>
      </c>
      <c r="I57" s="1376"/>
    </row>
    <row r="58" spans="2:12" x14ac:dyDescent="0.2">
      <c r="B58" s="2017" t="s">
        <v>528</v>
      </c>
      <c r="C58" s="2018" t="s">
        <v>529</v>
      </c>
      <c r="D58" s="2018" t="s">
        <v>530</v>
      </c>
      <c r="E58" s="2018" t="s">
        <v>464</v>
      </c>
      <c r="F58" s="2018" t="s">
        <v>465</v>
      </c>
      <c r="G58" s="2019" t="s">
        <v>531</v>
      </c>
      <c r="H58" s="2020" t="s">
        <v>532</v>
      </c>
      <c r="I58" s="2021" t="s">
        <v>16</v>
      </c>
    </row>
    <row r="59" spans="2:12" x14ac:dyDescent="0.2">
      <c r="B59" s="1876" t="s">
        <v>533</v>
      </c>
      <c r="C59" s="1101" t="s">
        <v>534</v>
      </c>
      <c r="D59" s="1101">
        <v>1</v>
      </c>
      <c r="E59" s="1101">
        <v>40.85</v>
      </c>
      <c r="F59" s="1101">
        <v>-76.489999999999995</v>
      </c>
      <c r="G59" s="1184">
        <f>E59*D59</f>
        <v>40.85</v>
      </c>
      <c r="H59" s="1377">
        <f>F59*D59</f>
        <v>-76.489999999999995</v>
      </c>
      <c r="I59" s="1896" t="s">
        <v>535</v>
      </c>
      <c r="J59" s="1183" t="s">
        <v>9</v>
      </c>
    </row>
    <row r="60" spans="2:12" x14ac:dyDescent="0.2">
      <c r="B60" s="2111" t="s">
        <v>536</v>
      </c>
      <c r="C60" s="1378" t="s">
        <v>537</v>
      </c>
      <c r="D60" s="1378">
        <v>19</v>
      </c>
      <c r="E60" s="1378">
        <v>37.799999999999997</v>
      </c>
      <c r="F60" s="1378">
        <v>-122.39</v>
      </c>
      <c r="G60" s="2112">
        <f>E60*D60</f>
        <v>718.19999999999993</v>
      </c>
      <c r="H60" s="1902">
        <f>F60*D60</f>
        <v>-2325.41</v>
      </c>
      <c r="I60" s="2113" t="s">
        <v>538</v>
      </c>
      <c r="J60" s="2930" t="s">
        <v>539</v>
      </c>
      <c r="K60" s="2931"/>
      <c r="L60" s="2931"/>
    </row>
    <row r="61" spans="2:12" ht="30.75" customHeight="1" x14ac:dyDescent="0.2">
      <c r="B61" s="1898"/>
      <c r="C61" s="2022" t="s">
        <v>128</v>
      </c>
      <c r="D61" s="1899">
        <f>SUM(D59:D60)</f>
        <v>20</v>
      </c>
      <c r="E61" s="1899"/>
      <c r="F61" s="1899"/>
      <c r="G61" s="2023">
        <f>SUM(G59:G60)/$D$61</f>
        <v>37.952500000000001</v>
      </c>
      <c r="H61" s="2023">
        <f>SUM(H59:H60)/$D$61</f>
        <v>-120.09499999999998</v>
      </c>
      <c r="I61" s="1900"/>
      <c r="J61" s="2930"/>
      <c r="K61" s="2931"/>
      <c r="L61" s="2931"/>
    </row>
    <row r="62" spans="2:12" x14ac:dyDescent="0.2">
      <c r="F62" s="1102" t="s">
        <v>525</v>
      </c>
      <c r="G62" s="1183" t="s">
        <v>540</v>
      </c>
    </row>
    <row r="64" spans="2:12" ht="15.75" customHeight="1" x14ac:dyDescent="0.2">
      <c r="B64" s="2927" t="s">
        <v>541</v>
      </c>
      <c r="C64" s="2928"/>
      <c r="E64" s="2932" t="s">
        <v>542</v>
      </c>
      <c r="F64" s="2932"/>
      <c r="G64" s="2932"/>
      <c r="H64" s="2932"/>
      <c r="J64" s="1016"/>
    </row>
    <row r="65" spans="2:10" x14ac:dyDescent="0.2">
      <c r="B65" s="2026" t="s">
        <v>543</v>
      </c>
      <c r="C65" s="2027">
        <f>AVERAGE(G55,G61)</f>
        <v>37.706334271698651</v>
      </c>
      <c r="E65" s="2932"/>
      <c r="F65" s="2932"/>
      <c r="G65" s="2932"/>
      <c r="H65" s="2932"/>
      <c r="J65" s="1016"/>
    </row>
    <row r="66" spans="2:10" x14ac:dyDescent="0.2">
      <c r="B66" s="1898" t="s">
        <v>544</v>
      </c>
      <c r="C66" s="2028">
        <f>AVERAGE(H55,H61)</f>
        <v>-106.47941220784028</v>
      </c>
      <c r="E66" s="2932"/>
      <c r="F66" s="2932"/>
      <c r="G66" s="2932"/>
      <c r="H66" s="2932"/>
    </row>
    <row r="67" spans="2:10" x14ac:dyDescent="0.2">
      <c r="B67" s="1016" t="s">
        <v>545</v>
      </c>
      <c r="E67" s="2932"/>
      <c r="F67" s="2932"/>
      <c r="G67" s="2932"/>
      <c r="H67" s="2932"/>
    </row>
    <row r="68" spans="2:10" x14ac:dyDescent="0.2">
      <c r="E68" s="2932"/>
      <c r="F68" s="2932"/>
      <c r="G68" s="2932"/>
      <c r="H68" s="2932"/>
    </row>
    <row r="69" spans="2:10" x14ac:dyDescent="0.2">
      <c r="H69" s="1103"/>
    </row>
    <row r="70" spans="2:10" x14ac:dyDescent="0.2">
      <c r="H70" s="1103"/>
    </row>
    <row r="71" spans="2:10" x14ac:dyDescent="0.2">
      <c r="B71" s="2903" t="s">
        <v>546</v>
      </c>
      <c r="C71" s="2904"/>
      <c r="D71" s="2904"/>
      <c r="E71" s="2904"/>
      <c r="F71" s="2904"/>
      <c r="G71" s="2905"/>
      <c r="H71" s="1103"/>
    </row>
    <row r="72" spans="2:10" x14ac:dyDescent="0.2">
      <c r="B72" s="2923" t="s">
        <v>547</v>
      </c>
      <c r="C72" s="2907"/>
      <c r="D72" s="2924"/>
      <c r="E72" s="2906" t="s">
        <v>548</v>
      </c>
      <c r="F72" s="2907"/>
      <c r="G72" s="2908"/>
    </row>
    <row r="73" spans="2:10" x14ac:dyDescent="0.2">
      <c r="B73" s="1983" t="s">
        <v>549</v>
      </c>
      <c r="C73" s="2909" t="s">
        <v>550</v>
      </c>
      <c r="D73" s="2910"/>
      <c r="E73" s="1984" t="s">
        <v>549</v>
      </c>
      <c r="F73" s="2909" t="s">
        <v>551</v>
      </c>
      <c r="G73" s="2910"/>
      <c r="J73" s="1016"/>
    </row>
    <row r="74" spans="2:10" x14ac:dyDescent="0.2">
      <c r="B74" s="1976" t="s">
        <v>552</v>
      </c>
      <c r="C74" s="2911">
        <v>14500</v>
      </c>
      <c r="D74" s="2912"/>
      <c r="E74" s="1377" t="s">
        <v>552</v>
      </c>
      <c r="F74" s="2911">
        <v>37660</v>
      </c>
      <c r="G74" s="2912"/>
      <c r="J74" s="1016"/>
    </row>
    <row r="75" spans="2:10" x14ac:dyDescent="0.2">
      <c r="B75" s="1977" t="s">
        <v>553</v>
      </c>
      <c r="C75" s="2913">
        <f>3.96/'General Assumptions'!C35</f>
        <v>0.33</v>
      </c>
      <c r="D75" s="2914"/>
      <c r="E75" s="1980" t="s">
        <v>553</v>
      </c>
      <c r="F75" s="2913">
        <f>3.48/'General Assumptions'!C35</f>
        <v>0.28999999999999998</v>
      </c>
      <c r="G75" s="2914"/>
      <c r="J75" s="1016"/>
    </row>
    <row r="76" spans="2:10" x14ac:dyDescent="0.2">
      <c r="B76" s="2925" t="s">
        <v>554</v>
      </c>
      <c r="C76" s="2917" t="s">
        <v>555</v>
      </c>
      <c r="D76" s="2918"/>
      <c r="E76" s="2915" t="s">
        <v>554</v>
      </c>
      <c r="F76" s="2917" t="s">
        <v>556</v>
      </c>
      <c r="G76" s="2918"/>
      <c r="J76" s="1016"/>
    </row>
    <row r="77" spans="2:10" x14ac:dyDescent="0.2">
      <c r="B77" s="2926"/>
      <c r="C77" s="2919"/>
      <c r="D77" s="2920"/>
      <c r="E77" s="2916"/>
      <c r="F77" s="2919"/>
      <c r="G77" s="2920"/>
      <c r="J77" s="1016"/>
    </row>
    <row r="78" spans="2:10" x14ac:dyDescent="0.2">
      <c r="B78" s="2926"/>
      <c r="C78" s="2919"/>
      <c r="D78" s="2920"/>
      <c r="E78" s="2916"/>
      <c r="F78" s="2919"/>
      <c r="G78" s="2920"/>
      <c r="J78" s="1016"/>
    </row>
    <row r="79" spans="2:10" x14ac:dyDescent="0.2">
      <c r="B79" s="2926"/>
      <c r="C79" s="2919"/>
      <c r="D79" s="2920"/>
      <c r="E79" s="2916"/>
      <c r="F79" s="2919"/>
      <c r="G79" s="2920"/>
      <c r="J79" s="1016"/>
    </row>
    <row r="80" spans="2:10" x14ac:dyDescent="0.2">
      <c r="B80" s="2926"/>
      <c r="C80" s="2919"/>
      <c r="D80" s="2920"/>
      <c r="E80" s="2916"/>
      <c r="F80" s="2919"/>
      <c r="G80" s="2920"/>
      <c r="J80" s="1016"/>
    </row>
    <row r="81" spans="2:10" x14ac:dyDescent="0.2">
      <c r="B81" s="2926"/>
      <c r="C81" s="2919"/>
      <c r="D81" s="2920"/>
      <c r="E81" s="2916"/>
      <c r="F81" s="2919"/>
      <c r="G81" s="2920"/>
      <c r="J81" s="1016"/>
    </row>
    <row r="82" spans="2:10" x14ac:dyDescent="0.2">
      <c r="B82" s="2926"/>
      <c r="C82" s="2919"/>
      <c r="D82" s="2920"/>
      <c r="E82" s="2916"/>
      <c r="F82" s="2919"/>
      <c r="G82" s="2920"/>
      <c r="J82" s="1016"/>
    </row>
    <row r="83" spans="2:10" x14ac:dyDescent="0.2">
      <c r="B83" s="2926"/>
      <c r="C83" s="2919"/>
      <c r="D83" s="2920"/>
      <c r="E83" s="2916"/>
      <c r="F83" s="2919"/>
      <c r="G83" s="2920"/>
      <c r="J83" s="1016"/>
    </row>
    <row r="84" spans="2:10" x14ac:dyDescent="0.2">
      <c r="B84" s="2926"/>
      <c r="C84" s="2919"/>
      <c r="D84" s="2920"/>
      <c r="E84" s="2916"/>
      <c r="F84" s="2919"/>
      <c r="G84" s="2920"/>
      <c r="J84" s="1016"/>
    </row>
    <row r="85" spans="2:10" x14ac:dyDescent="0.2">
      <c r="B85" s="2926"/>
      <c r="C85" s="2919"/>
      <c r="D85" s="2920"/>
      <c r="E85" s="2916"/>
      <c r="F85" s="2919"/>
      <c r="G85" s="2920"/>
      <c r="J85" s="1016"/>
    </row>
    <row r="86" spans="2:10" x14ac:dyDescent="0.2">
      <c r="B86" s="2926"/>
      <c r="C86" s="2919"/>
      <c r="D86" s="2920"/>
      <c r="E86" s="2916"/>
      <c r="F86" s="2919"/>
      <c r="G86" s="2920"/>
      <c r="J86" s="1016"/>
    </row>
    <row r="87" spans="2:10" x14ac:dyDescent="0.2">
      <c r="B87" s="1978" t="s">
        <v>557</v>
      </c>
      <c r="C87" s="2921" t="s">
        <v>558</v>
      </c>
      <c r="D87" s="2922"/>
      <c r="E87" s="1981" t="s">
        <v>557</v>
      </c>
      <c r="F87" s="2899" t="s">
        <v>559</v>
      </c>
      <c r="G87" s="2900"/>
      <c r="H87" s="1412"/>
      <c r="J87" s="1016"/>
    </row>
    <row r="88" spans="2:10" x14ac:dyDescent="0.2">
      <c r="B88" s="1979" t="s">
        <v>560</v>
      </c>
      <c r="C88" s="2901">
        <f>C75*C74*'General Assumptions'!C35</f>
        <v>57420</v>
      </c>
      <c r="D88" s="2902"/>
      <c r="E88" s="1982" t="s">
        <v>560</v>
      </c>
      <c r="F88" s="2901">
        <f>F74*F75*'General Assumptions'!C35</f>
        <v>131056.79999999999</v>
      </c>
      <c r="G88" s="2902"/>
      <c r="J88" s="1016"/>
    </row>
    <row r="89" spans="2:10" x14ac:dyDescent="0.2">
      <c r="J89" s="1016"/>
    </row>
    <row r="90" spans="2:10" x14ac:dyDescent="0.2">
      <c r="H90" s="1442"/>
      <c r="J90" s="1016"/>
    </row>
  </sheetData>
  <mergeCells count="21">
    <mergeCell ref="B64:C64"/>
    <mergeCell ref="C73:D73"/>
    <mergeCell ref="C74:D74"/>
    <mergeCell ref="J54:L55"/>
    <mergeCell ref="J60:L61"/>
    <mergeCell ref="E64:H68"/>
    <mergeCell ref="F87:G87"/>
    <mergeCell ref="F88:G88"/>
    <mergeCell ref="B71:G71"/>
    <mergeCell ref="E72:G72"/>
    <mergeCell ref="F73:G73"/>
    <mergeCell ref="F74:G74"/>
    <mergeCell ref="F75:G75"/>
    <mergeCell ref="E76:E86"/>
    <mergeCell ref="F76:G86"/>
    <mergeCell ref="C75:D75"/>
    <mergeCell ref="C76:D86"/>
    <mergeCell ref="C87:D87"/>
    <mergeCell ref="C88:D88"/>
    <mergeCell ref="B72:D72"/>
    <mergeCell ref="B76:B86"/>
  </mergeCells>
  <phoneticPr fontId="59" type="noConversion"/>
  <hyperlinks>
    <hyperlink ref="C87" r:id="rId1"/>
    <hyperlink ref="A1" location="Index!A1" display="Index"/>
    <hyperlink ref="F87:G87" r:id="rId2" display="http://www.loopnet.com/Listing/1422-1462-S-Redwood-Rd-Salt-Lake-City-UT/595038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S39"/>
  <sheetViews>
    <sheetView showGridLines="0" topLeftCell="G15" workbookViewId="0">
      <selection activeCell="L21" sqref="L21"/>
    </sheetView>
  </sheetViews>
  <sheetFormatPr baseColWidth="10" defaultColWidth="8.83203125" defaultRowHeight="16" x14ac:dyDescent="0.2"/>
  <cols>
    <col min="1" max="1" width="8.83203125" style="745"/>
    <col min="2" max="2" width="22.6640625" style="745" customWidth="1"/>
    <col min="3" max="4" width="11" style="745" bestFit="1" customWidth="1"/>
    <col min="5" max="5" width="11.83203125" style="745" customWidth="1"/>
    <col min="6" max="8" width="12" style="745" bestFit="1" customWidth="1"/>
    <col min="9" max="12" width="8.83203125" style="745"/>
    <col min="13" max="13" width="11.83203125" style="745" customWidth="1"/>
    <col min="14" max="14" width="9" style="745" bestFit="1" customWidth="1"/>
    <col min="15" max="15" width="11.83203125" style="745" bestFit="1" customWidth="1"/>
    <col min="16" max="18" width="10" style="745" bestFit="1" customWidth="1"/>
    <col min="19" max="16384" width="8.83203125" style="745"/>
  </cols>
  <sheetData>
    <row r="1" spans="1:19" x14ac:dyDescent="0.2">
      <c r="A1" s="1771" t="s">
        <v>38</v>
      </c>
    </row>
    <row r="2" spans="1:19" x14ac:dyDescent="0.2">
      <c r="B2" s="2903" t="s">
        <v>561</v>
      </c>
      <c r="C2" s="2904"/>
      <c r="D2" s="2905"/>
      <c r="E2" s="1016"/>
      <c r="F2" s="1016"/>
      <c r="G2" s="1016"/>
      <c r="H2" s="1016"/>
    </row>
    <row r="3" spans="1:19" x14ac:dyDescent="0.2">
      <c r="B3" s="1016"/>
      <c r="C3" s="1016"/>
      <c r="D3" s="1016"/>
      <c r="E3" s="1016"/>
      <c r="F3" s="1016"/>
      <c r="G3" s="1016"/>
      <c r="H3" s="1016"/>
    </row>
    <row r="4" spans="1:19" x14ac:dyDescent="0.2">
      <c r="B4" s="2016" t="s">
        <v>562</v>
      </c>
      <c r="C4" s="2055" t="s">
        <v>188</v>
      </c>
      <c r="D4" s="2055" t="s">
        <v>71</v>
      </c>
      <c r="E4" s="2055" t="s">
        <v>72</v>
      </c>
      <c r="F4" s="2055" t="s">
        <v>73</v>
      </c>
      <c r="G4" s="2055" t="s">
        <v>74</v>
      </c>
      <c r="H4" s="2056" t="s">
        <v>75</v>
      </c>
    </row>
    <row r="5" spans="1:19" x14ac:dyDescent="0.2">
      <c r="B5" s="1876" t="s">
        <v>563</v>
      </c>
      <c r="C5" s="1877">
        <f t="shared" ref="C5:H5" si="0">C21</f>
        <v>14355</v>
      </c>
      <c r="D5" s="1878">
        <f t="shared" si="0"/>
        <v>57420</v>
      </c>
      <c r="E5" s="1878">
        <f t="shared" si="0"/>
        <v>57420</v>
      </c>
      <c r="F5" s="1878">
        <f t="shared" si="0"/>
        <v>131056.79999999999</v>
      </c>
      <c r="G5" s="1878">
        <f t="shared" si="0"/>
        <v>131056.79999999999</v>
      </c>
      <c r="H5" s="1879">
        <f t="shared" si="0"/>
        <v>131056.79999999999</v>
      </c>
    </row>
    <row r="6" spans="1:19" x14ac:dyDescent="0.2">
      <c r="B6" s="1876" t="s">
        <v>564</v>
      </c>
      <c r="C6" s="1877">
        <f>Salaries!G22</f>
        <v>16250</v>
      </c>
      <c r="D6" s="1878">
        <f>Salaries!G50</f>
        <v>70200</v>
      </c>
      <c r="E6" s="1878">
        <f>Salaries!G78</f>
        <v>75816</v>
      </c>
      <c r="F6" s="1878">
        <f>Salaries!G106</f>
        <v>163762.56000000003</v>
      </c>
      <c r="G6" s="1878">
        <f>Salaries!G134</f>
        <v>176863.56480000005</v>
      </c>
      <c r="H6" s="1879">
        <f>Salaries!G162</f>
        <v>191012.64998400008</v>
      </c>
    </row>
    <row r="7" spans="1:19" x14ac:dyDescent="0.2">
      <c r="B7" s="1876" t="s">
        <v>418</v>
      </c>
      <c r="C7" s="1877">
        <f>Salaries!G13</f>
        <v>0</v>
      </c>
      <c r="D7" s="1878" t="e">
        <f ca="1">Salaries!G41</f>
        <v>#NAME?</v>
      </c>
      <c r="E7" s="1878" t="e">
        <f ca="1">Salaries!G69</f>
        <v>#NAME?</v>
      </c>
      <c r="F7" s="1878" t="e">
        <f ca="1">Salaries!G97</f>
        <v>#NAME?</v>
      </c>
      <c r="G7" s="1878" t="e">
        <f ca="1">Salaries!G125</f>
        <v>#NAME?</v>
      </c>
      <c r="H7" s="1879" t="e">
        <f ca="1">Salaries!G153</f>
        <v>#NAME?</v>
      </c>
    </row>
    <row r="8" spans="1:19" x14ac:dyDescent="0.2">
      <c r="B8" s="1876" t="s">
        <v>565</v>
      </c>
      <c r="C8" s="1877">
        <f t="shared" ref="C8:H8" si="1">C32</f>
        <v>3900</v>
      </c>
      <c r="D8" s="1878">
        <f t="shared" si="1"/>
        <v>15912</v>
      </c>
      <c r="E8" s="1878">
        <f t="shared" si="1"/>
        <v>16230.24</v>
      </c>
      <c r="F8" s="1878">
        <f t="shared" si="1"/>
        <v>16554.844799999999</v>
      </c>
      <c r="G8" s="1878">
        <f t="shared" si="1"/>
        <v>16885.941696000002</v>
      </c>
      <c r="H8" s="1879">
        <f t="shared" si="1"/>
        <v>17223.660529920002</v>
      </c>
      <c r="M8" s="2"/>
      <c r="N8" s="2"/>
      <c r="O8" s="2"/>
      <c r="P8" s="2"/>
      <c r="Q8" s="2"/>
      <c r="R8" s="2"/>
      <c r="S8" s="2"/>
    </row>
    <row r="9" spans="1:19" x14ac:dyDescent="0.2">
      <c r="B9" s="1876" t="s">
        <v>566</v>
      </c>
      <c r="C9" s="1877">
        <f t="shared" ref="C9:H9" si="2">C27</f>
        <v>12147.384</v>
      </c>
      <c r="D9" s="1878">
        <f t="shared" si="2"/>
        <v>49561.326719999997</v>
      </c>
      <c r="E9" s="1878">
        <f t="shared" si="2"/>
        <v>50552.553254400002</v>
      </c>
      <c r="F9" s="1878">
        <f t="shared" si="2"/>
        <v>51563.604319488011</v>
      </c>
      <c r="G9" s="1878">
        <f t="shared" si="2"/>
        <v>52594.876405877774</v>
      </c>
      <c r="H9" s="1879">
        <f t="shared" si="2"/>
        <v>53646.773933995333</v>
      </c>
      <c r="M9" s="2"/>
      <c r="N9" s="2"/>
      <c r="O9" s="2"/>
      <c r="P9" s="2"/>
      <c r="Q9" s="2"/>
      <c r="R9" s="2"/>
      <c r="S9" s="2"/>
    </row>
    <row r="10" spans="1:19" x14ac:dyDescent="0.2">
      <c r="B10" s="1876" t="s">
        <v>429</v>
      </c>
      <c r="C10" s="1877">
        <f>Salaries!$G$22</f>
        <v>16250</v>
      </c>
      <c r="D10" s="1878">
        <f>Salaries!$G$50</f>
        <v>70200</v>
      </c>
      <c r="E10" s="1878">
        <f>Salaries!$G$78</f>
        <v>75816</v>
      </c>
      <c r="F10" s="1878">
        <f>Salaries!$G$106</f>
        <v>163762.56000000003</v>
      </c>
      <c r="G10" s="1878">
        <f>Salaries!$G$134</f>
        <v>176863.56480000005</v>
      </c>
      <c r="H10" s="1879">
        <f>Salaries!$G$162</f>
        <v>191012.64998400008</v>
      </c>
      <c r="M10" s="2"/>
      <c r="N10" s="2"/>
      <c r="O10" s="2"/>
      <c r="P10" s="2"/>
      <c r="Q10" s="2"/>
      <c r="R10" s="2"/>
      <c r="S10" s="2"/>
    </row>
    <row r="11" spans="1:19" x14ac:dyDescent="0.2">
      <c r="B11" s="1876" t="s">
        <v>567</v>
      </c>
      <c r="C11" s="1877">
        <v>6000</v>
      </c>
      <c r="D11" s="1878">
        <f>C11*($C$15+1)</f>
        <v>6120</v>
      </c>
      <c r="E11" s="1878">
        <f>D11*($C$15+1)</f>
        <v>6242.4000000000005</v>
      </c>
      <c r="F11" s="1878">
        <f>E11*($C$15+1)</f>
        <v>6367.2480000000005</v>
      </c>
      <c r="G11" s="1878">
        <f>F11*($C$15+1)</f>
        <v>6494.5929600000009</v>
      </c>
      <c r="H11" s="1879">
        <f>G11*($C$15+1)</f>
        <v>6624.4848192000009</v>
      </c>
      <c r="M11" s="2"/>
      <c r="N11" s="2"/>
      <c r="O11" s="2"/>
      <c r="P11" s="2"/>
      <c r="Q11" s="2"/>
      <c r="R11" s="2"/>
      <c r="S11" s="2"/>
    </row>
    <row r="12" spans="1:19" x14ac:dyDescent="0.2">
      <c r="B12" s="1880" t="s">
        <v>568</v>
      </c>
      <c r="C12" s="1881">
        <f t="shared" ref="C12:H12" si="3">SUM(C5:C11)</f>
        <v>68902.383999999991</v>
      </c>
      <c r="D12" s="1881" t="e">
        <f t="shared" ca="1" si="3"/>
        <v>#NAME?</v>
      </c>
      <c r="E12" s="1881" t="e">
        <f t="shared" ca="1" si="3"/>
        <v>#NAME?</v>
      </c>
      <c r="F12" s="1881" t="e">
        <f t="shared" ca="1" si="3"/>
        <v>#NAME?</v>
      </c>
      <c r="G12" s="1881" t="e">
        <f t="shared" ca="1" si="3"/>
        <v>#NAME?</v>
      </c>
      <c r="H12" s="1882" t="e">
        <f t="shared" ca="1" si="3"/>
        <v>#NAME?</v>
      </c>
      <c r="L12" s="1883"/>
      <c r="M12" s="2"/>
      <c r="N12" s="2"/>
      <c r="O12" s="2"/>
      <c r="P12" s="2"/>
      <c r="Q12" s="2"/>
      <c r="R12" s="2"/>
      <c r="S12" s="2"/>
    </row>
    <row r="13" spans="1:19" x14ac:dyDescent="0.2">
      <c r="B13" s="1880" t="s">
        <v>569</v>
      </c>
      <c r="C13" s="1881">
        <f t="shared" ref="C13:H13" si="4">C12/12</f>
        <v>5741.8653333333323</v>
      </c>
      <c r="D13" s="1881" t="e">
        <f t="shared" ca="1" si="4"/>
        <v>#NAME?</v>
      </c>
      <c r="E13" s="1881" t="e">
        <f t="shared" ca="1" si="4"/>
        <v>#NAME?</v>
      </c>
      <c r="F13" s="1881" t="e">
        <f t="shared" ca="1" si="4"/>
        <v>#NAME?</v>
      </c>
      <c r="G13" s="1881" t="e">
        <f t="shared" ca="1" si="4"/>
        <v>#NAME?</v>
      </c>
      <c r="H13" s="1882" t="e">
        <f t="shared" ca="1" si="4"/>
        <v>#NAME?</v>
      </c>
      <c r="L13" s="1883"/>
      <c r="M13" s="2"/>
      <c r="N13" s="2"/>
      <c r="O13" s="2"/>
      <c r="P13" s="2"/>
      <c r="Q13" s="2"/>
      <c r="R13" s="2"/>
      <c r="S13" s="2"/>
    </row>
    <row r="14" spans="1:19" x14ac:dyDescent="0.2">
      <c r="B14" s="1016"/>
      <c r="C14" s="1016"/>
      <c r="D14" s="1016"/>
      <c r="E14" s="1016"/>
      <c r="F14" s="1016"/>
      <c r="G14" s="1016"/>
      <c r="H14" s="1016"/>
      <c r="L14" s="1883"/>
      <c r="M14" s="2"/>
      <c r="N14" s="2"/>
      <c r="O14" s="2"/>
      <c r="P14" s="2"/>
      <c r="Q14" s="2"/>
      <c r="R14" s="2"/>
      <c r="S14" s="2"/>
    </row>
    <row r="15" spans="1:19" x14ac:dyDescent="0.2">
      <c r="B15" s="2029" t="s">
        <v>570</v>
      </c>
      <c r="C15" s="1884">
        <v>0.02</v>
      </c>
      <c r="D15" s="1016"/>
      <c r="E15" s="1016"/>
      <c r="F15" s="1016"/>
      <c r="G15" s="1016"/>
      <c r="H15" s="1016"/>
      <c r="L15" s="1883"/>
      <c r="M15" s="2"/>
      <c r="N15" s="2"/>
      <c r="O15" s="2"/>
      <c r="P15" s="2"/>
      <c r="Q15" s="2"/>
      <c r="R15" s="2"/>
      <c r="S15" s="2"/>
    </row>
    <row r="16" spans="1:19" x14ac:dyDescent="0.2">
      <c r="B16" s="1016"/>
      <c r="C16" s="1016"/>
      <c r="D16" s="1016"/>
      <c r="E16" s="1016"/>
      <c r="F16" s="1016"/>
      <c r="G16" s="1016"/>
      <c r="H16" s="1016"/>
      <c r="L16" s="1883"/>
      <c r="M16" s="2"/>
      <c r="N16" s="678"/>
      <c r="O16" s="2"/>
      <c r="P16" s="2"/>
      <c r="Q16" s="2"/>
      <c r="R16" s="2"/>
      <c r="S16" s="2"/>
    </row>
    <row r="17" spans="2:19" x14ac:dyDescent="0.2">
      <c r="B17" s="2016" t="s">
        <v>571</v>
      </c>
      <c r="C17" s="2055" t="s">
        <v>188</v>
      </c>
      <c r="D17" s="2055" t="s">
        <v>71</v>
      </c>
      <c r="E17" s="2055" t="s">
        <v>72</v>
      </c>
      <c r="F17" s="2055" t="s">
        <v>73</v>
      </c>
      <c r="G17" s="2055" t="s">
        <v>74</v>
      </c>
      <c r="H17" s="2056" t="s">
        <v>75</v>
      </c>
      <c r="L17" s="1883"/>
      <c r="M17" s="2"/>
      <c r="N17" s="2"/>
      <c r="O17" s="2"/>
      <c r="P17" s="2"/>
      <c r="Q17" s="2"/>
      <c r="R17" s="2"/>
      <c r="S17" s="2"/>
    </row>
    <row r="18" spans="2:19" x14ac:dyDescent="0.2">
      <c r="B18" s="1885" t="s">
        <v>572</v>
      </c>
      <c r="C18" s="1886">
        <f>0.33</f>
        <v>0.33</v>
      </c>
      <c r="D18" s="1886">
        <f>0.33</f>
        <v>0.33</v>
      </c>
      <c r="E18" s="1886">
        <v>0.33</v>
      </c>
      <c r="F18" s="1886">
        <v>0.28999999999999998</v>
      </c>
      <c r="G18" s="1886">
        <v>0.28999999999999998</v>
      </c>
      <c r="H18" s="1887">
        <v>0.28999999999999998</v>
      </c>
      <c r="L18" s="1883"/>
      <c r="M18" s="2"/>
      <c r="N18" s="2561"/>
      <c r="O18" s="2561"/>
      <c r="P18" s="2561"/>
      <c r="Q18" s="2561"/>
      <c r="R18" s="2561"/>
      <c r="S18" s="2"/>
    </row>
    <row r="19" spans="2:19" x14ac:dyDescent="0.2">
      <c r="B19" s="1885" t="s">
        <v>60</v>
      </c>
      <c r="C19" s="1888">
        <v>3</v>
      </c>
      <c r="D19" s="1888">
        <v>12</v>
      </c>
      <c r="E19" s="1889">
        <v>12</v>
      </c>
      <c r="F19" s="1889">
        <v>12</v>
      </c>
      <c r="G19" s="1889">
        <v>12</v>
      </c>
      <c r="H19" s="1890">
        <v>12</v>
      </c>
      <c r="L19" s="1883"/>
      <c r="M19" s="2"/>
      <c r="N19" s="2"/>
      <c r="O19" s="2"/>
      <c r="P19" s="2"/>
      <c r="Q19" s="2"/>
      <c r="R19" s="2"/>
      <c r="S19" s="2"/>
    </row>
    <row r="20" spans="2:19" x14ac:dyDescent="0.2">
      <c r="B20" s="1885" t="s">
        <v>573</v>
      </c>
      <c r="C20" s="1891">
        <v>14500</v>
      </c>
      <c r="D20" s="1891">
        <v>14500</v>
      </c>
      <c r="E20" s="1891">
        <v>14500</v>
      </c>
      <c r="F20" s="1891">
        <v>37660</v>
      </c>
      <c r="G20" s="1891">
        <v>37660</v>
      </c>
      <c r="H20" s="1892">
        <v>37660</v>
      </c>
      <c r="L20" s="1883"/>
      <c r="M20" s="2"/>
      <c r="N20" s="2"/>
      <c r="O20" s="2"/>
      <c r="P20" s="2"/>
      <c r="Q20" s="2"/>
      <c r="R20" s="2"/>
      <c r="S20" s="2"/>
    </row>
    <row r="21" spans="2:19" x14ac:dyDescent="0.2">
      <c r="B21" s="1880" t="s">
        <v>560</v>
      </c>
      <c r="C21" s="1881">
        <f t="shared" ref="C21:H21" si="5">C18*C19*C20</f>
        <v>14355</v>
      </c>
      <c r="D21" s="1881">
        <f t="shared" si="5"/>
        <v>57420</v>
      </c>
      <c r="E21" s="1881">
        <f t="shared" si="5"/>
        <v>57420</v>
      </c>
      <c r="F21" s="1881">
        <f t="shared" si="5"/>
        <v>131056.79999999999</v>
      </c>
      <c r="G21" s="1881">
        <f t="shared" si="5"/>
        <v>131056.79999999999</v>
      </c>
      <c r="H21" s="1882">
        <f t="shared" si="5"/>
        <v>131056.79999999999</v>
      </c>
      <c r="L21" s="1883"/>
      <c r="M21" s="2"/>
      <c r="N21" s="2"/>
      <c r="O21" s="2"/>
      <c r="P21" s="2"/>
      <c r="Q21" s="2"/>
      <c r="R21" s="2"/>
      <c r="S21" s="2"/>
    </row>
    <row r="22" spans="2:19" x14ac:dyDescent="0.2">
      <c r="B22" s="1016"/>
      <c r="C22" s="1016"/>
      <c r="D22" s="1016"/>
      <c r="E22" s="1016"/>
      <c r="F22" s="1016"/>
      <c r="G22" s="1016"/>
      <c r="H22" s="1016"/>
      <c r="M22" s="2"/>
      <c r="N22" s="2"/>
      <c r="O22" s="2"/>
      <c r="P22" s="2"/>
      <c r="Q22" s="2"/>
      <c r="R22" s="2"/>
      <c r="S22" s="2"/>
    </row>
    <row r="23" spans="2:19" x14ac:dyDescent="0.2">
      <c r="B23" s="2024" t="s">
        <v>574</v>
      </c>
      <c r="C23" s="2057" t="s">
        <v>188</v>
      </c>
      <c r="D23" s="2057" t="s">
        <v>71</v>
      </c>
      <c r="E23" s="2057" t="s">
        <v>72</v>
      </c>
      <c r="F23" s="2057" t="s">
        <v>73</v>
      </c>
      <c r="G23" s="2057" t="s">
        <v>74</v>
      </c>
      <c r="H23" s="2058" t="s">
        <v>75</v>
      </c>
      <c r="M23" s="2"/>
      <c r="N23" s="2"/>
      <c r="O23" s="2"/>
      <c r="P23" s="2"/>
      <c r="Q23" s="2"/>
      <c r="R23" s="2"/>
      <c r="S23" s="2"/>
    </row>
    <row r="24" spans="2:19" x14ac:dyDescent="0.2">
      <c r="B24" s="1893" t="s">
        <v>575</v>
      </c>
      <c r="C24" s="1894">
        <v>5061.41</v>
      </c>
      <c r="D24" s="1894">
        <f>C24*(1+$C$15)</f>
        <v>5162.6382000000003</v>
      </c>
      <c r="E24" s="1894">
        <f>D24*(1+$C$15)</f>
        <v>5265.8909640000002</v>
      </c>
      <c r="F24" s="1894">
        <f>E24*(1+$C$15)</f>
        <v>5371.2087832800007</v>
      </c>
      <c r="G24" s="1894">
        <f>F24*(1+$C$15)</f>
        <v>5478.6329589456009</v>
      </c>
      <c r="H24" s="1895">
        <f>G24*(1+$C$15)</f>
        <v>5588.2056181245134</v>
      </c>
      <c r="M24" s="2"/>
      <c r="N24" s="2"/>
      <c r="O24" s="2"/>
      <c r="P24" s="2"/>
      <c r="Q24" s="2"/>
      <c r="R24" s="2"/>
      <c r="S24" s="2"/>
    </row>
    <row r="25" spans="2:19" x14ac:dyDescent="0.2">
      <c r="B25" s="1885" t="s">
        <v>576</v>
      </c>
      <c r="C25" s="1101">
        <v>0.8</v>
      </c>
      <c r="D25" s="1101">
        <v>0.8</v>
      </c>
      <c r="E25" s="1101">
        <v>0.8</v>
      </c>
      <c r="F25" s="1101">
        <v>0.8</v>
      </c>
      <c r="G25" s="1101">
        <v>0.8</v>
      </c>
      <c r="H25" s="1896">
        <v>0.8</v>
      </c>
      <c r="M25" s="2"/>
      <c r="N25" s="2"/>
      <c r="O25" s="2"/>
      <c r="P25" s="2"/>
      <c r="Q25" s="2"/>
      <c r="R25" s="2"/>
      <c r="S25" s="2"/>
    </row>
    <row r="26" spans="2:19" x14ac:dyDescent="0.2">
      <c r="B26" s="1885" t="s">
        <v>577</v>
      </c>
      <c r="C26" s="1101">
        <v>3</v>
      </c>
      <c r="D26" s="1101">
        <v>12</v>
      </c>
      <c r="E26" s="1101">
        <v>12</v>
      </c>
      <c r="F26" s="1101">
        <v>12</v>
      </c>
      <c r="G26" s="1101">
        <v>12</v>
      </c>
      <c r="H26" s="1896">
        <v>12</v>
      </c>
      <c r="M26" s="2"/>
      <c r="N26" s="2"/>
      <c r="O26" s="2"/>
      <c r="P26" s="2"/>
      <c r="Q26" s="2"/>
      <c r="R26" s="2"/>
      <c r="S26" s="2"/>
    </row>
    <row r="27" spans="2:19" x14ac:dyDescent="0.2">
      <c r="B27" s="1880" t="s">
        <v>578</v>
      </c>
      <c r="C27" s="1881">
        <f t="shared" ref="C27:H27" si="6">C24*C25*C26</f>
        <v>12147.384</v>
      </c>
      <c r="D27" s="1881">
        <f t="shared" si="6"/>
        <v>49561.326719999997</v>
      </c>
      <c r="E27" s="1881">
        <f t="shared" si="6"/>
        <v>50552.553254400002</v>
      </c>
      <c r="F27" s="1881">
        <f t="shared" si="6"/>
        <v>51563.604319488011</v>
      </c>
      <c r="G27" s="1881">
        <f t="shared" si="6"/>
        <v>52594.876405877774</v>
      </c>
      <c r="H27" s="1882">
        <f t="shared" si="6"/>
        <v>53646.773933995333</v>
      </c>
      <c r="M27" s="2"/>
      <c r="N27" s="2"/>
      <c r="O27" s="2"/>
      <c r="P27" s="2"/>
      <c r="Q27" s="2"/>
      <c r="R27" s="2"/>
      <c r="S27" s="2"/>
    </row>
    <row r="28" spans="2:19" x14ac:dyDescent="0.2">
      <c r="B28" s="1016"/>
      <c r="C28" s="1016"/>
      <c r="D28" s="1016"/>
      <c r="E28" s="1016"/>
      <c r="F28" s="1016"/>
      <c r="G28" s="1016"/>
      <c r="H28" s="1016"/>
      <c r="M28" s="2"/>
      <c r="N28" s="2"/>
      <c r="O28" s="2"/>
      <c r="P28" s="2"/>
      <c r="Q28" s="2"/>
      <c r="R28" s="2"/>
      <c r="S28" s="2"/>
    </row>
    <row r="29" spans="2:19" x14ac:dyDescent="0.2">
      <c r="B29" s="2016" t="s">
        <v>565</v>
      </c>
      <c r="C29" s="2057" t="s">
        <v>188</v>
      </c>
      <c r="D29" s="2057" t="s">
        <v>71</v>
      </c>
      <c r="E29" s="2057" t="s">
        <v>72</v>
      </c>
      <c r="F29" s="2057" t="s">
        <v>73</v>
      </c>
      <c r="G29" s="2057" t="s">
        <v>74</v>
      </c>
      <c r="H29" s="2058" t="s">
        <v>75</v>
      </c>
      <c r="M29" s="2"/>
      <c r="N29" s="2"/>
      <c r="O29" s="2"/>
      <c r="P29" s="2"/>
      <c r="Q29" s="2"/>
      <c r="R29" s="2"/>
      <c r="S29" s="2"/>
    </row>
    <row r="30" spans="2:19" x14ac:dyDescent="0.2">
      <c r="B30" s="1876" t="s">
        <v>450</v>
      </c>
      <c r="C30" s="1897">
        <v>1300</v>
      </c>
      <c r="D30" s="1894">
        <f>C30*(1+$C$15)</f>
        <v>1326</v>
      </c>
      <c r="E30" s="1894">
        <f>D30*(1+$C$15)</f>
        <v>1352.52</v>
      </c>
      <c r="F30" s="1894">
        <f>E30*(1+$C$15)</f>
        <v>1379.5704000000001</v>
      </c>
      <c r="G30" s="1894">
        <f>F30*(1+$C$15)</f>
        <v>1407.1618080000001</v>
      </c>
      <c r="H30" s="1895">
        <f>G30*(1+$C$15)</f>
        <v>1435.3050441600001</v>
      </c>
      <c r="M30" s="2"/>
      <c r="N30" s="2"/>
      <c r="O30" s="2"/>
      <c r="P30" s="2"/>
      <c r="Q30" s="2"/>
      <c r="R30" s="2"/>
      <c r="S30" s="2"/>
    </row>
    <row r="31" spans="2:19" x14ac:dyDescent="0.2">
      <c r="B31" s="1898" t="s">
        <v>577</v>
      </c>
      <c r="C31" s="1898">
        <v>3</v>
      </c>
      <c r="D31" s="1899">
        <v>12</v>
      </c>
      <c r="E31" s="1899">
        <v>12</v>
      </c>
      <c r="F31" s="1899">
        <v>12</v>
      </c>
      <c r="G31" s="1899">
        <v>12</v>
      </c>
      <c r="H31" s="1900">
        <v>12</v>
      </c>
      <c r="M31" s="2"/>
      <c r="N31" s="2"/>
      <c r="O31" s="2"/>
      <c r="P31" s="2"/>
      <c r="Q31" s="2"/>
      <c r="R31" s="2"/>
      <c r="S31" s="2"/>
    </row>
    <row r="32" spans="2:19" x14ac:dyDescent="0.2">
      <c r="B32" s="1880" t="s">
        <v>579</v>
      </c>
      <c r="C32" s="1881">
        <f t="shared" ref="C32:H32" si="7">C30*C31</f>
        <v>3900</v>
      </c>
      <c r="D32" s="1881">
        <f t="shared" si="7"/>
        <v>15912</v>
      </c>
      <c r="E32" s="1881">
        <f t="shared" si="7"/>
        <v>16230.24</v>
      </c>
      <c r="F32" s="1881">
        <f t="shared" si="7"/>
        <v>16554.844799999999</v>
      </c>
      <c r="G32" s="1881">
        <f t="shared" si="7"/>
        <v>16885.941696000002</v>
      </c>
      <c r="H32" s="1882">
        <f t="shared" si="7"/>
        <v>17223.660529920002</v>
      </c>
      <c r="M32" s="2"/>
      <c r="N32" s="2"/>
      <c r="O32" s="2"/>
      <c r="P32" s="2"/>
      <c r="Q32" s="2"/>
      <c r="R32" s="2"/>
      <c r="S32" s="2"/>
    </row>
    <row r="39" spans="6:6" x14ac:dyDescent="0.2">
      <c r="F39" s="1214"/>
    </row>
  </sheetData>
  <mergeCells count="1">
    <mergeCell ref="B2:D2"/>
  </mergeCells>
  <phoneticPr fontId="59" type="noConversion"/>
  <hyperlinks>
    <hyperlink ref="A1"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J85"/>
  <sheetViews>
    <sheetView showGridLines="0" topLeftCell="A17" workbookViewId="0">
      <selection activeCell="D24" sqref="D24"/>
    </sheetView>
  </sheetViews>
  <sheetFormatPr baseColWidth="10" defaultColWidth="8.83203125" defaultRowHeight="16" x14ac:dyDescent="0.2"/>
  <cols>
    <col min="1" max="2" width="8.83203125" style="745"/>
    <col min="3" max="3" width="14.5" style="745" bestFit="1" customWidth="1"/>
    <col min="4" max="4" width="18.6640625" style="745" bestFit="1" customWidth="1"/>
    <col min="5" max="5" width="13.5" style="745" bestFit="1" customWidth="1"/>
    <col min="6" max="6" width="17.83203125" style="745" bestFit="1" customWidth="1"/>
    <col min="7" max="10" width="8.83203125" style="745"/>
    <col min="11" max="11" width="13.83203125" style="745" customWidth="1"/>
    <col min="12" max="16384" width="8.83203125" style="745"/>
  </cols>
  <sheetData>
    <row r="1" spans="1:10" x14ac:dyDescent="0.2">
      <c r="A1" s="1771" t="s">
        <v>38</v>
      </c>
    </row>
    <row r="2" spans="1:10" x14ac:dyDescent="0.2">
      <c r="C2" s="1526" t="s">
        <v>580</v>
      </c>
      <c r="D2" s="1527" t="s">
        <v>581</v>
      </c>
      <c r="F2" s="1498" t="s">
        <v>582</v>
      </c>
    </row>
    <row r="3" spans="1:10" x14ac:dyDescent="0.2">
      <c r="B3" s="916" t="s">
        <v>583</v>
      </c>
      <c r="C3" s="1436" t="e">
        <f ca="1">$C$15/'General Assumptions'!$C$35</f>
        <v>#NAME?</v>
      </c>
      <c r="D3" s="1437" t="e">
        <f ca="1">C3/(1-'General Assumptions'!$C$37-I11)</f>
        <v>#NAME?</v>
      </c>
      <c r="F3" s="1433" t="e">
        <f ca="1">D15/C15</f>
        <v>#NAME?</v>
      </c>
    </row>
    <row r="4" spans="1:10" x14ac:dyDescent="0.2">
      <c r="B4" s="920" t="s">
        <v>584</v>
      </c>
      <c r="C4" s="1436" t="e">
        <f ca="1">$C$15/'General Assumptions'!$C$35</f>
        <v>#NAME?</v>
      </c>
      <c r="D4" s="1437" t="e">
        <f ca="1">C4/(1-'General Assumptions'!$C$38-I12)</f>
        <v>#NAME?</v>
      </c>
    </row>
    <row r="5" spans="1:10" x14ac:dyDescent="0.2">
      <c r="B5" s="920" t="s">
        <v>585</v>
      </c>
      <c r="C5" s="1436" t="e">
        <f ca="1">$C$15/'General Assumptions'!$C$35</f>
        <v>#NAME?</v>
      </c>
      <c r="D5" s="1437" t="e">
        <f ca="1">C5/(1-'General Assumptions'!$C$39-'General Assumptions'!C$42)</f>
        <v>#NAME?</v>
      </c>
      <c r="I5" s="946"/>
      <c r="J5" s="1154"/>
    </row>
    <row r="6" spans="1:10" x14ac:dyDescent="0.2">
      <c r="B6" s="920" t="s">
        <v>586</v>
      </c>
      <c r="C6" s="1436" t="e">
        <f ca="1">$C$15/'General Assumptions'!$C$35</f>
        <v>#NAME?</v>
      </c>
      <c r="D6" s="1437" t="e">
        <f ca="1">C6/(1-'General Assumptions'!$C$39-'General Assumptions'!C$42)</f>
        <v>#NAME?</v>
      </c>
    </row>
    <row r="7" spans="1:10" x14ac:dyDescent="0.2">
      <c r="B7" s="920" t="s">
        <v>587</v>
      </c>
      <c r="C7" s="1436" t="e">
        <f ca="1">$C$15/'General Assumptions'!$C$35</f>
        <v>#NAME?</v>
      </c>
      <c r="D7" s="1437" t="e">
        <f ca="1">C7/(1-'General Assumptions'!$C$39-'General Assumptions'!C$42)</f>
        <v>#NAME?</v>
      </c>
    </row>
    <row r="8" spans="1:10" x14ac:dyDescent="0.2">
      <c r="B8" s="920" t="s">
        <v>588</v>
      </c>
      <c r="C8" s="1436" t="e">
        <f ca="1">$C$15/'General Assumptions'!$C$35</f>
        <v>#NAME?</v>
      </c>
      <c r="D8" s="1437" t="e">
        <f ca="1">C8/(1-'General Assumptions'!$C$39-'General Assumptions'!C$42)</f>
        <v>#NAME?</v>
      </c>
    </row>
    <row r="9" spans="1:10" x14ac:dyDescent="0.2">
      <c r="B9" s="920" t="s">
        <v>589</v>
      </c>
      <c r="C9" s="1436" t="e">
        <f ca="1">$C$15/'General Assumptions'!$C$35</f>
        <v>#NAME?</v>
      </c>
      <c r="D9" s="1437" t="e">
        <f ca="1">C9/(1-'General Assumptions'!$C$39-'General Assumptions'!C$42)</f>
        <v>#NAME?</v>
      </c>
    </row>
    <row r="10" spans="1:10" x14ac:dyDescent="0.2">
      <c r="B10" s="920" t="s">
        <v>590</v>
      </c>
      <c r="C10" s="1436" t="e">
        <f ca="1">$C$15/'General Assumptions'!$C$35</f>
        <v>#NAME?</v>
      </c>
      <c r="D10" s="1437" t="e">
        <f ca="1">C10/(1-'General Assumptions'!$C$39-'General Assumptions'!C$42)</f>
        <v>#NAME?</v>
      </c>
    </row>
    <row r="11" spans="1:10" x14ac:dyDescent="0.2">
      <c r="B11" s="920" t="s">
        <v>591</v>
      </c>
      <c r="C11" s="1436" t="e">
        <f ca="1">$C$15/'General Assumptions'!$C$35</f>
        <v>#NAME?</v>
      </c>
      <c r="D11" s="1437" t="e">
        <f ca="1">C11/(1-'General Assumptions'!$C$39-'General Assumptions'!C$42)</f>
        <v>#NAME?</v>
      </c>
    </row>
    <row r="12" spans="1:10" x14ac:dyDescent="0.2">
      <c r="B12" s="920" t="s">
        <v>592</v>
      </c>
      <c r="C12" s="1436" t="e">
        <f ca="1">$C$15/'General Assumptions'!$C$35</f>
        <v>#NAME?</v>
      </c>
      <c r="D12" s="1437" t="e">
        <f ca="1">C12/(1-'General Assumptions'!$C$39-'General Assumptions'!C$42)</f>
        <v>#NAME?</v>
      </c>
    </row>
    <row r="13" spans="1:10" x14ac:dyDescent="0.2">
      <c r="B13" s="920" t="s">
        <v>593</v>
      </c>
      <c r="C13" s="1436" t="e">
        <f ca="1">$C$15/'General Assumptions'!$C$35</f>
        <v>#NAME?</v>
      </c>
      <c r="D13" s="1437" t="e">
        <f ca="1">C13/(1-'General Assumptions'!$C$39-'General Assumptions'!C$42)</f>
        <v>#NAME?</v>
      </c>
    </row>
    <row r="14" spans="1:10" x14ac:dyDescent="0.2">
      <c r="B14" s="920" t="s">
        <v>594</v>
      </c>
      <c r="C14" s="1436" t="e">
        <f ca="1">$C$15/'General Assumptions'!$C$35</f>
        <v>#NAME?</v>
      </c>
      <c r="D14" s="1437" t="e">
        <f ca="1">C14/(1-'General Assumptions'!$C$39-'General Assumptions'!C$42)</f>
        <v>#NAME?</v>
      </c>
    </row>
    <row r="15" spans="1:10" x14ac:dyDescent="0.2">
      <c r="B15" s="1440" t="s">
        <v>128</v>
      </c>
      <c r="C15" s="1438" t="e">
        <f ca="1">'BASES MODEL (Base Case)'!C37</f>
        <v>#NAME?</v>
      </c>
      <c r="D15" s="1439" t="e">
        <f ca="1">SUM(D3:D14)</f>
        <v>#NAME?</v>
      </c>
    </row>
    <row r="17" spans="2:6" s="1170" customFormat="1" ht="6.75" customHeight="1" x14ac:dyDescent="0.2"/>
    <row r="18" spans="2:6" hidden="1" x14ac:dyDescent="0.2"/>
    <row r="20" spans="2:6" x14ac:dyDescent="0.2">
      <c r="C20" s="1526" t="s">
        <v>595</v>
      </c>
      <c r="D20" s="1527" t="s">
        <v>596</v>
      </c>
      <c r="F20" s="1498" t="s">
        <v>582</v>
      </c>
    </row>
    <row r="21" spans="2:6" x14ac:dyDescent="0.2">
      <c r="B21" s="916" t="s">
        <v>583</v>
      </c>
      <c r="C21" s="1436" t="e">
        <f ca="1">$C$33/'General Assumptions'!$C$35</f>
        <v>#NAME?</v>
      </c>
      <c r="D21" s="1437" t="e">
        <f ca="1">C21/(1-'General Assumptions'!$C$39-'General Assumptions'!C$42)</f>
        <v>#NAME?</v>
      </c>
      <c r="F21" s="1433" t="e">
        <f ca="1">D33/C33</f>
        <v>#NAME?</v>
      </c>
    </row>
    <row r="22" spans="2:6" x14ac:dyDescent="0.2">
      <c r="B22" s="920" t="s">
        <v>584</v>
      </c>
      <c r="C22" s="1436" t="e">
        <f ca="1">$C$33/'General Assumptions'!$C$35</f>
        <v>#NAME?</v>
      </c>
      <c r="D22" s="1437" t="e">
        <f ca="1">C22/(1-'General Assumptions'!$C$39-'General Assumptions'!C$42)</f>
        <v>#NAME?</v>
      </c>
    </row>
    <row r="23" spans="2:6" x14ac:dyDescent="0.2">
      <c r="B23" s="920" t="s">
        <v>585</v>
      </c>
      <c r="C23" s="1436" t="e">
        <f ca="1">$C$33/'General Assumptions'!$C$35</f>
        <v>#NAME?</v>
      </c>
      <c r="D23" s="1437" t="e">
        <f ca="1">C23/(1-'General Assumptions'!$C$39-'General Assumptions'!C$42)</f>
        <v>#NAME?</v>
      </c>
    </row>
    <row r="24" spans="2:6" x14ac:dyDescent="0.2">
      <c r="B24" s="920" t="s">
        <v>586</v>
      </c>
      <c r="C24" s="1436" t="e">
        <f ca="1">$C$33/'General Assumptions'!$C$35</f>
        <v>#NAME?</v>
      </c>
      <c r="D24" s="1437" t="e">
        <f ca="1">C24/(1-'General Assumptions'!$C$39-'General Assumptions'!C$42)</f>
        <v>#NAME?</v>
      </c>
    </row>
    <row r="25" spans="2:6" x14ac:dyDescent="0.2">
      <c r="B25" s="920" t="s">
        <v>587</v>
      </c>
      <c r="C25" s="1436" t="e">
        <f ca="1">$C$33/'General Assumptions'!$C$35</f>
        <v>#NAME?</v>
      </c>
      <c r="D25" s="1437" t="e">
        <f ca="1">C25/(1-'General Assumptions'!$C$39-'General Assumptions'!C$42)</f>
        <v>#NAME?</v>
      </c>
    </row>
    <row r="26" spans="2:6" x14ac:dyDescent="0.2">
      <c r="B26" s="920" t="s">
        <v>588</v>
      </c>
      <c r="C26" s="1436" t="e">
        <f ca="1">$C$33/'General Assumptions'!$C$35</f>
        <v>#NAME?</v>
      </c>
      <c r="D26" s="1437" t="e">
        <f ca="1">C26/(1-'General Assumptions'!$C$39-'General Assumptions'!C$42)</f>
        <v>#NAME?</v>
      </c>
    </row>
    <row r="27" spans="2:6" x14ac:dyDescent="0.2">
      <c r="B27" s="920" t="s">
        <v>589</v>
      </c>
      <c r="C27" s="1436" t="e">
        <f ca="1">$C$33/'General Assumptions'!$C$35</f>
        <v>#NAME?</v>
      </c>
      <c r="D27" s="1437" t="e">
        <f ca="1">C27/(1-'General Assumptions'!$C$39-'General Assumptions'!C$42)</f>
        <v>#NAME?</v>
      </c>
    </row>
    <row r="28" spans="2:6" x14ac:dyDescent="0.2">
      <c r="B28" s="920" t="s">
        <v>590</v>
      </c>
      <c r="C28" s="1436" t="e">
        <f ca="1">$C$33/'General Assumptions'!$C$35</f>
        <v>#NAME?</v>
      </c>
      <c r="D28" s="1437" t="e">
        <f ca="1">C28/(1-'General Assumptions'!$C$39-'General Assumptions'!C$42)</f>
        <v>#NAME?</v>
      </c>
    </row>
    <row r="29" spans="2:6" x14ac:dyDescent="0.2">
      <c r="B29" s="920" t="s">
        <v>591</v>
      </c>
      <c r="C29" s="1436" t="e">
        <f ca="1">$C$33/'General Assumptions'!$C$35</f>
        <v>#NAME?</v>
      </c>
      <c r="D29" s="1437" t="e">
        <f ca="1">C29/(1-'General Assumptions'!$C$39-'General Assumptions'!C$42)</f>
        <v>#NAME?</v>
      </c>
    </row>
    <row r="30" spans="2:6" x14ac:dyDescent="0.2">
      <c r="B30" s="920" t="s">
        <v>592</v>
      </c>
      <c r="C30" s="1436" t="e">
        <f ca="1">$C$33/'General Assumptions'!$C$35</f>
        <v>#NAME?</v>
      </c>
      <c r="D30" s="1437" t="e">
        <f ca="1">C30/(1-'General Assumptions'!$C$39-'General Assumptions'!C$42)</f>
        <v>#NAME?</v>
      </c>
    </row>
    <row r="31" spans="2:6" x14ac:dyDescent="0.2">
      <c r="B31" s="920" t="s">
        <v>593</v>
      </c>
      <c r="C31" s="1436" t="e">
        <f ca="1">$C$33/'General Assumptions'!$C$35</f>
        <v>#NAME?</v>
      </c>
      <c r="D31" s="1437" t="e">
        <f ca="1">C31/(1-'General Assumptions'!$C$39-'General Assumptions'!C$42)</f>
        <v>#NAME?</v>
      </c>
    </row>
    <row r="32" spans="2:6" x14ac:dyDescent="0.2">
      <c r="B32" s="920" t="s">
        <v>594</v>
      </c>
      <c r="C32" s="1436" t="e">
        <f ca="1">$C$33/'General Assumptions'!$C$35</f>
        <v>#NAME?</v>
      </c>
      <c r="D32" s="1437" t="e">
        <f ca="1">C32/(1-'General Assumptions'!$C$39-'General Assumptions'!C$42)</f>
        <v>#NAME?</v>
      </c>
    </row>
    <row r="33" spans="2:6" x14ac:dyDescent="0.2">
      <c r="B33" s="1440" t="s">
        <v>128</v>
      </c>
      <c r="C33" s="1438" t="e">
        <f ca="1">'BASES MODEL (Base Case)'!D37</f>
        <v>#NAME?</v>
      </c>
      <c r="D33" s="1439" t="e">
        <f ca="1">SUM(D21:D32)</f>
        <v>#NAME?</v>
      </c>
    </row>
    <row r="35" spans="2:6" s="1170" customFormat="1" ht="6.75" customHeight="1" x14ac:dyDescent="0.2"/>
    <row r="38" spans="2:6" x14ac:dyDescent="0.2">
      <c r="C38" s="1526" t="s">
        <v>597</v>
      </c>
      <c r="D38" s="1527" t="s">
        <v>598</v>
      </c>
      <c r="F38" s="843" t="s">
        <v>582</v>
      </c>
    </row>
    <row r="39" spans="2:6" x14ac:dyDescent="0.2">
      <c r="B39" s="916" t="s">
        <v>583</v>
      </c>
      <c r="C39" s="1436" t="e">
        <f ca="1">$C$51/'General Assumptions'!$C$35</f>
        <v>#NAME?</v>
      </c>
      <c r="D39" s="1437" t="e">
        <f ca="1">C39/(1-'General Assumptions'!$C$39-'General Assumptions'!C$42)</f>
        <v>#NAME?</v>
      </c>
      <c r="F39" s="1434" t="e">
        <f ca="1">D51/C51</f>
        <v>#NAME?</v>
      </c>
    </row>
    <row r="40" spans="2:6" x14ac:dyDescent="0.2">
      <c r="B40" s="920" t="s">
        <v>584</v>
      </c>
      <c r="C40" s="1436" t="e">
        <f ca="1">$C$51/'General Assumptions'!$C$35</f>
        <v>#NAME?</v>
      </c>
      <c r="D40" s="1437" t="e">
        <f ca="1">C40/(1-'General Assumptions'!$C$39-'General Assumptions'!C$42)</f>
        <v>#NAME?</v>
      </c>
    </row>
    <row r="41" spans="2:6" x14ac:dyDescent="0.2">
      <c r="B41" s="920" t="s">
        <v>585</v>
      </c>
      <c r="C41" s="1436" t="e">
        <f ca="1">$C$51/'General Assumptions'!$C$35</f>
        <v>#NAME?</v>
      </c>
      <c r="D41" s="1437" t="e">
        <f ca="1">C41/(1-'General Assumptions'!$C$39-'General Assumptions'!C$42)</f>
        <v>#NAME?</v>
      </c>
    </row>
    <row r="42" spans="2:6" x14ac:dyDescent="0.2">
      <c r="B42" s="920" t="s">
        <v>586</v>
      </c>
      <c r="C42" s="1436" t="e">
        <f ca="1">$C$51/'General Assumptions'!$C$35</f>
        <v>#NAME?</v>
      </c>
      <c r="D42" s="1437" t="e">
        <f ca="1">C42/(1-'General Assumptions'!$C$39-'General Assumptions'!C$42)</f>
        <v>#NAME?</v>
      </c>
    </row>
    <row r="43" spans="2:6" x14ac:dyDescent="0.2">
      <c r="B43" s="920" t="s">
        <v>587</v>
      </c>
      <c r="C43" s="1436" t="e">
        <f ca="1">$C$51/'General Assumptions'!$C$35</f>
        <v>#NAME?</v>
      </c>
      <c r="D43" s="1437" t="e">
        <f ca="1">C43/(1-'General Assumptions'!$C$39-'General Assumptions'!C$42)</f>
        <v>#NAME?</v>
      </c>
    </row>
    <row r="44" spans="2:6" x14ac:dyDescent="0.2">
      <c r="B44" s="920" t="s">
        <v>588</v>
      </c>
      <c r="C44" s="1436" t="e">
        <f ca="1">$C$51/'General Assumptions'!$C$35</f>
        <v>#NAME?</v>
      </c>
      <c r="D44" s="1437" t="e">
        <f ca="1">C44/(1-'General Assumptions'!$C$39-'General Assumptions'!C$42)</f>
        <v>#NAME?</v>
      </c>
    </row>
    <row r="45" spans="2:6" x14ac:dyDescent="0.2">
      <c r="B45" s="920" t="s">
        <v>589</v>
      </c>
      <c r="C45" s="1436" t="e">
        <f ca="1">$C$51/'General Assumptions'!$C$35</f>
        <v>#NAME?</v>
      </c>
      <c r="D45" s="1437" t="e">
        <f ca="1">C45/(1-'General Assumptions'!$C$39-'General Assumptions'!C$42)</f>
        <v>#NAME?</v>
      </c>
    </row>
    <row r="46" spans="2:6" x14ac:dyDescent="0.2">
      <c r="B46" s="920" t="s">
        <v>590</v>
      </c>
      <c r="C46" s="1436" t="e">
        <f ca="1">$C$51/'General Assumptions'!$C$35</f>
        <v>#NAME?</v>
      </c>
      <c r="D46" s="1437" t="e">
        <f ca="1">C46/(1-'General Assumptions'!$C$39-'General Assumptions'!C$42)</f>
        <v>#NAME?</v>
      </c>
    </row>
    <row r="47" spans="2:6" x14ac:dyDescent="0.2">
      <c r="B47" s="920" t="s">
        <v>591</v>
      </c>
      <c r="C47" s="1436" t="e">
        <f ca="1">$C$51/'General Assumptions'!$C$35</f>
        <v>#NAME?</v>
      </c>
      <c r="D47" s="1437" t="e">
        <f ca="1">C47/(1-'General Assumptions'!$C$39-'General Assumptions'!C$42)</f>
        <v>#NAME?</v>
      </c>
    </row>
    <row r="48" spans="2:6" x14ac:dyDescent="0.2">
      <c r="B48" s="920" t="s">
        <v>592</v>
      </c>
      <c r="C48" s="1436" t="e">
        <f ca="1">$C$51/'General Assumptions'!$C$35</f>
        <v>#NAME?</v>
      </c>
      <c r="D48" s="1437" t="e">
        <f ca="1">C48/(1-'General Assumptions'!$C$39-'General Assumptions'!C$42)</f>
        <v>#NAME?</v>
      </c>
    </row>
    <row r="49" spans="2:6" x14ac:dyDescent="0.2">
      <c r="B49" s="920" t="s">
        <v>593</v>
      </c>
      <c r="C49" s="1436" t="e">
        <f ca="1">$C$51/'General Assumptions'!$C$35</f>
        <v>#NAME?</v>
      </c>
      <c r="D49" s="1437" t="e">
        <f ca="1">C49/(1-'General Assumptions'!$C$39-'General Assumptions'!C$42)</f>
        <v>#NAME?</v>
      </c>
    </row>
    <row r="50" spans="2:6" x14ac:dyDescent="0.2">
      <c r="B50" s="920" t="s">
        <v>594</v>
      </c>
      <c r="C50" s="1436" t="e">
        <f ca="1">$C$51/'General Assumptions'!$C$35</f>
        <v>#NAME?</v>
      </c>
      <c r="D50" s="1437" t="e">
        <f ca="1">C50/(1-'General Assumptions'!$C$39-'General Assumptions'!C$42)</f>
        <v>#NAME?</v>
      </c>
    </row>
    <row r="51" spans="2:6" x14ac:dyDescent="0.2">
      <c r="B51" s="1440" t="s">
        <v>128</v>
      </c>
      <c r="C51" s="1438" t="e">
        <f ca="1">'BASES MODEL (Base Case)'!E37</f>
        <v>#NAME?</v>
      </c>
      <c r="D51" s="1439" t="e">
        <f ca="1">SUM(D39:D50)</f>
        <v>#NAME?</v>
      </c>
    </row>
    <row r="52" spans="2:6" x14ac:dyDescent="0.2">
      <c r="C52" s="1435"/>
      <c r="D52" s="946"/>
    </row>
    <row r="53" spans="2:6" s="1170" customFormat="1" ht="6.75" customHeight="1" x14ac:dyDescent="0.2"/>
    <row r="55" spans="2:6" x14ac:dyDescent="0.2">
      <c r="C55" s="1526" t="s">
        <v>599</v>
      </c>
      <c r="D55" s="1527" t="s">
        <v>600</v>
      </c>
      <c r="F55" s="843" t="s">
        <v>582</v>
      </c>
    </row>
    <row r="56" spans="2:6" x14ac:dyDescent="0.2">
      <c r="B56" s="916" t="s">
        <v>583</v>
      </c>
      <c r="C56" s="1436" t="e">
        <f ca="1">$C$68/'General Assumptions'!$C$35</f>
        <v>#NAME?</v>
      </c>
      <c r="D56" s="1437" t="e">
        <f ca="1">C56/(1-'General Assumptions'!$C$39-'General Assumptions'!C$42)</f>
        <v>#NAME?</v>
      </c>
      <c r="F56" s="1434" t="e">
        <f ca="1">D68/C68</f>
        <v>#NAME?</v>
      </c>
    </row>
    <row r="57" spans="2:6" x14ac:dyDescent="0.2">
      <c r="B57" s="920" t="s">
        <v>584</v>
      </c>
      <c r="C57" s="1436" t="e">
        <f ca="1">$C$68/'General Assumptions'!$C$35</f>
        <v>#NAME?</v>
      </c>
      <c r="D57" s="1437" t="e">
        <f ca="1">C57/(1-'General Assumptions'!$C$39-'General Assumptions'!C$42)</f>
        <v>#NAME?</v>
      </c>
    </row>
    <row r="58" spans="2:6" x14ac:dyDescent="0.2">
      <c r="B58" s="920" t="s">
        <v>585</v>
      </c>
      <c r="C58" s="1436" t="e">
        <f ca="1">$C$68/'General Assumptions'!$C$35</f>
        <v>#NAME?</v>
      </c>
      <c r="D58" s="1437" t="e">
        <f ca="1">C58/(1-'General Assumptions'!$C$39-'General Assumptions'!C$42)</f>
        <v>#NAME?</v>
      </c>
    </row>
    <row r="59" spans="2:6" x14ac:dyDescent="0.2">
      <c r="B59" s="920" t="s">
        <v>586</v>
      </c>
      <c r="C59" s="1436" t="e">
        <f ca="1">$C$68/'General Assumptions'!$C$35</f>
        <v>#NAME?</v>
      </c>
      <c r="D59" s="1437" t="e">
        <f ca="1">C59/(1-'General Assumptions'!$C$39-'General Assumptions'!C$42)</f>
        <v>#NAME?</v>
      </c>
    </row>
    <row r="60" spans="2:6" x14ac:dyDescent="0.2">
      <c r="B60" s="920" t="s">
        <v>587</v>
      </c>
      <c r="C60" s="1436" t="e">
        <f ca="1">$C$68/'General Assumptions'!$C$35</f>
        <v>#NAME?</v>
      </c>
      <c r="D60" s="1437" t="e">
        <f ca="1">C60/(1-'General Assumptions'!$C$39-'General Assumptions'!C$42)</f>
        <v>#NAME?</v>
      </c>
    </row>
    <row r="61" spans="2:6" x14ac:dyDescent="0.2">
      <c r="B61" s="920" t="s">
        <v>588</v>
      </c>
      <c r="C61" s="1436" t="e">
        <f ca="1">$C$68/'General Assumptions'!$C$35</f>
        <v>#NAME?</v>
      </c>
      <c r="D61" s="1437" t="e">
        <f ca="1">C61/(1-'General Assumptions'!$C$39-'General Assumptions'!C$42)</f>
        <v>#NAME?</v>
      </c>
    </row>
    <row r="62" spans="2:6" x14ac:dyDescent="0.2">
      <c r="B62" s="920" t="s">
        <v>589</v>
      </c>
      <c r="C62" s="1436" t="e">
        <f ca="1">$C$68/'General Assumptions'!$C$35</f>
        <v>#NAME?</v>
      </c>
      <c r="D62" s="1437" t="e">
        <f ca="1">C62/(1-'General Assumptions'!$C$39-'General Assumptions'!C$42)</f>
        <v>#NAME?</v>
      </c>
    </row>
    <row r="63" spans="2:6" x14ac:dyDescent="0.2">
      <c r="B63" s="920" t="s">
        <v>590</v>
      </c>
      <c r="C63" s="1436" t="e">
        <f ca="1">$C$68/'General Assumptions'!$C$35</f>
        <v>#NAME?</v>
      </c>
      <c r="D63" s="1437" t="e">
        <f ca="1">C63/(1-'General Assumptions'!$C$39-'General Assumptions'!C$42)</f>
        <v>#NAME?</v>
      </c>
    </row>
    <row r="64" spans="2:6" x14ac:dyDescent="0.2">
      <c r="B64" s="920" t="s">
        <v>591</v>
      </c>
      <c r="C64" s="1436" t="e">
        <f ca="1">$C$68/'General Assumptions'!$C$35</f>
        <v>#NAME?</v>
      </c>
      <c r="D64" s="1437" t="e">
        <f ca="1">C64/(1-'General Assumptions'!$C$39-'General Assumptions'!C$42)</f>
        <v>#NAME?</v>
      </c>
    </row>
    <row r="65" spans="2:6" x14ac:dyDescent="0.2">
      <c r="B65" s="920" t="s">
        <v>592</v>
      </c>
      <c r="C65" s="1436" t="e">
        <f ca="1">$C$68/'General Assumptions'!$C$35</f>
        <v>#NAME?</v>
      </c>
      <c r="D65" s="1437" t="e">
        <f ca="1">C65/(1-'General Assumptions'!$C$39-'General Assumptions'!C$42)</f>
        <v>#NAME?</v>
      </c>
    </row>
    <row r="66" spans="2:6" x14ac:dyDescent="0.2">
      <c r="B66" s="920" t="s">
        <v>593</v>
      </c>
      <c r="C66" s="1436" t="e">
        <f ca="1">$C$68/'General Assumptions'!$C$35</f>
        <v>#NAME?</v>
      </c>
      <c r="D66" s="1437" t="e">
        <f ca="1">C66/(1-'General Assumptions'!$C$39-'General Assumptions'!C$42)</f>
        <v>#NAME?</v>
      </c>
    </row>
    <row r="67" spans="2:6" x14ac:dyDescent="0.2">
      <c r="B67" s="920" t="s">
        <v>594</v>
      </c>
      <c r="C67" s="1436" t="e">
        <f ca="1">$C$68/'General Assumptions'!$C$35</f>
        <v>#NAME?</v>
      </c>
      <c r="D67" s="1437" t="e">
        <f ca="1">C67/(1-'General Assumptions'!$C$39-'General Assumptions'!C$42)</f>
        <v>#NAME?</v>
      </c>
    </row>
    <row r="68" spans="2:6" x14ac:dyDescent="0.2">
      <c r="B68" s="889" t="s">
        <v>128</v>
      </c>
      <c r="C68" s="1438" t="e">
        <f ca="1">'BASES MODEL (Base Case)'!F37</f>
        <v>#NAME?</v>
      </c>
      <c r="D68" s="1439" t="e">
        <f ca="1">SUM(D56:D67)</f>
        <v>#NAME?</v>
      </c>
    </row>
    <row r="70" spans="2:6" s="1170" customFormat="1" ht="6.75" customHeight="1" x14ac:dyDescent="0.2"/>
    <row r="72" spans="2:6" x14ac:dyDescent="0.2">
      <c r="C72" s="1526" t="s">
        <v>601</v>
      </c>
      <c r="D72" s="1527" t="s">
        <v>602</v>
      </c>
      <c r="F72" s="843" t="s">
        <v>582</v>
      </c>
    </row>
    <row r="73" spans="2:6" x14ac:dyDescent="0.2">
      <c r="B73" s="916" t="s">
        <v>583</v>
      </c>
      <c r="C73" s="1436" t="e">
        <f ca="1">$C$85/'General Assumptions'!$C$35</f>
        <v>#NAME?</v>
      </c>
      <c r="D73" s="1437" t="e">
        <f ca="1">C73/(1-'General Assumptions'!$C$39-'General Assumptions'!C$42)</f>
        <v>#NAME?</v>
      </c>
      <c r="F73" s="1434" t="e">
        <f ca="1">D85/C85</f>
        <v>#NAME?</v>
      </c>
    </row>
    <row r="74" spans="2:6" x14ac:dyDescent="0.2">
      <c r="B74" s="920" t="s">
        <v>584</v>
      </c>
      <c r="C74" s="1436" t="e">
        <f ca="1">$C$85/'General Assumptions'!$C$35</f>
        <v>#NAME?</v>
      </c>
      <c r="D74" s="1437" t="e">
        <f ca="1">C74/(1-'General Assumptions'!$C$39-'General Assumptions'!C$42)</f>
        <v>#NAME?</v>
      </c>
    </row>
    <row r="75" spans="2:6" x14ac:dyDescent="0.2">
      <c r="B75" s="920" t="s">
        <v>585</v>
      </c>
      <c r="C75" s="1436" t="e">
        <f ca="1">$C$85/'General Assumptions'!$C$35</f>
        <v>#NAME?</v>
      </c>
      <c r="D75" s="1437" t="e">
        <f ca="1">C75/(1-'General Assumptions'!$C$39-'General Assumptions'!C$42)</f>
        <v>#NAME?</v>
      </c>
    </row>
    <row r="76" spans="2:6" x14ac:dyDescent="0.2">
      <c r="B76" s="920" t="s">
        <v>586</v>
      </c>
      <c r="C76" s="1436" t="e">
        <f ca="1">$C$85/'General Assumptions'!$C$35</f>
        <v>#NAME?</v>
      </c>
      <c r="D76" s="1437" t="e">
        <f ca="1">C76/(1-'General Assumptions'!$C$39-'General Assumptions'!C$42)</f>
        <v>#NAME?</v>
      </c>
    </row>
    <row r="77" spans="2:6" x14ac:dyDescent="0.2">
      <c r="B77" s="920" t="s">
        <v>587</v>
      </c>
      <c r="C77" s="1436" t="e">
        <f ca="1">$C$85/'General Assumptions'!$C$35</f>
        <v>#NAME?</v>
      </c>
      <c r="D77" s="1437" t="e">
        <f ca="1">C77/(1-'General Assumptions'!$C$39-'General Assumptions'!C$42)</f>
        <v>#NAME?</v>
      </c>
    </row>
    <row r="78" spans="2:6" x14ac:dyDescent="0.2">
      <c r="B78" s="920" t="s">
        <v>588</v>
      </c>
      <c r="C78" s="1436" t="e">
        <f ca="1">$C$85/'General Assumptions'!$C$35</f>
        <v>#NAME?</v>
      </c>
      <c r="D78" s="1437" t="e">
        <f ca="1">C78/(1-'General Assumptions'!$C$39-'General Assumptions'!C$42)</f>
        <v>#NAME?</v>
      </c>
    </row>
    <row r="79" spans="2:6" x14ac:dyDescent="0.2">
      <c r="B79" s="920" t="s">
        <v>589</v>
      </c>
      <c r="C79" s="1436" t="e">
        <f ca="1">$C$85/'General Assumptions'!$C$35</f>
        <v>#NAME?</v>
      </c>
      <c r="D79" s="1437" t="e">
        <f ca="1">C79/(1-'General Assumptions'!$C$39-'General Assumptions'!C$42)</f>
        <v>#NAME?</v>
      </c>
    </row>
    <row r="80" spans="2:6" x14ac:dyDescent="0.2">
      <c r="B80" s="920" t="s">
        <v>590</v>
      </c>
      <c r="C80" s="1436" t="e">
        <f ca="1">$C$85/'General Assumptions'!$C$35</f>
        <v>#NAME?</v>
      </c>
      <c r="D80" s="1437" t="e">
        <f ca="1">C80/(1-'General Assumptions'!$C$39-'General Assumptions'!C$42)</f>
        <v>#NAME?</v>
      </c>
    </row>
    <row r="81" spans="2:4" x14ac:dyDescent="0.2">
      <c r="B81" s="920" t="s">
        <v>591</v>
      </c>
      <c r="C81" s="1436" t="e">
        <f ca="1">$C$85/'General Assumptions'!$C$35</f>
        <v>#NAME?</v>
      </c>
      <c r="D81" s="1437" t="e">
        <f ca="1">C81/(1-'General Assumptions'!$C$39-'General Assumptions'!C$42)</f>
        <v>#NAME?</v>
      </c>
    </row>
    <row r="82" spans="2:4" x14ac:dyDescent="0.2">
      <c r="B82" s="920" t="s">
        <v>592</v>
      </c>
      <c r="C82" s="1436" t="e">
        <f ca="1">$C$85/'General Assumptions'!$C$35</f>
        <v>#NAME?</v>
      </c>
      <c r="D82" s="1437" t="e">
        <f ca="1">C82/(1-'General Assumptions'!$C$39-'General Assumptions'!C$42)</f>
        <v>#NAME?</v>
      </c>
    </row>
    <row r="83" spans="2:4" x14ac:dyDescent="0.2">
      <c r="B83" s="920" t="s">
        <v>593</v>
      </c>
      <c r="C83" s="1436" t="e">
        <f ca="1">$C$85/'General Assumptions'!$C$35</f>
        <v>#NAME?</v>
      </c>
      <c r="D83" s="1437" t="e">
        <f ca="1">C83/(1-'General Assumptions'!$C$39-'General Assumptions'!C$42)</f>
        <v>#NAME?</v>
      </c>
    </row>
    <row r="84" spans="2:4" x14ac:dyDescent="0.2">
      <c r="B84" s="920" t="s">
        <v>594</v>
      </c>
      <c r="C84" s="1436" t="e">
        <f ca="1">$C$85/'General Assumptions'!$C$35</f>
        <v>#NAME?</v>
      </c>
      <c r="D84" s="1437" t="e">
        <f ca="1">C84/(1-'General Assumptions'!$C$39-'General Assumptions'!C$42)</f>
        <v>#NAME?</v>
      </c>
    </row>
    <row r="85" spans="2:4" x14ac:dyDescent="0.2">
      <c r="B85" s="1441" t="s">
        <v>128</v>
      </c>
      <c r="C85" s="1438" t="e">
        <f ca="1">'BASES MODEL (Base Case)'!G37</f>
        <v>#NAME?</v>
      </c>
      <c r="D85" s="1439" t="e">
        <f ca="1">SUM(D73:D84)</f>
        <v>#NAME?</v>
      </c>
    </row>
  </sheetData>
  <phoneticPr fontId="59" type="noConversion"/>
  <hyperlinks>
    <hyperlink ref="A1"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F45" workbookViewId="0">
      <selection activeCell="J51" sqref="J51"/>
    </sheetView>
  </sheetViews>
  <sheetFormatPr baseColWidth="10" defaultColWidth="11" defaultRowHeight="16" x14ac:dyDescent="0.2"/>
  <cols>
    <col min="1" max="1" width="11.1640625" style="745" customWidth="1"/>
    <col min="2" max="2" width="28.1640625" style="745" customWidth="1"/>
    <col min="3" max="3" width="26.1640625" style="745" customWidth="1"/>
    <col min="4" max="16384" width="11" style="745"/>
  </cols>
  <sheetData>
    <row r="1" spans="1:3" x14ac:dyDescent="0.2">
      <c r="A1" s="1771" t="s">
        <v>38</v>
      </c>
    </row>
    <row r="3" spans="1:3" s="1470" customFormat="1" x14ac:dyDescent="0.2">
      <c r="B3" s="1471" t="s">
        <v>39</v>
      </c>
    </row>
    <row r="5" spans="1:3" x14ac:dyDescent="0.2">
      <c r="B5" s="2775" t="s">
        <v>11</v>
      </c>
      <c r="C5" s="2776"/>
    </row>
    <row r="6" spans="1:3" x14ac:dyDescent="0.2">
      <c r="B6" s="1155" t="s">
        <v>40</v>
      </c>
      <c r="C6" s="1159">
        <f>C8*C9</f>
        <v>250</v>
      </c>
    </row>
    <row r="7" spans="1:3" x14ac:dyDescent="0.2">
      <c r="B7" s="1156" t="s">
        <v>41</v>
      </c>
      <c r="C7" s="1158">
        <v>8</v>
      </c>
    </row>
    <row r="8" spans="1:3" x14ac:dyDescent="0.2">
      <c r="B8" s="920" t="s">
        <v>42</v>
      </c>
      <c r="C8" s="1158">
        <v>50</v>
      </c>
    </row>
    <row r="9" spans="1:3" x14ac:dyDescent="0.2">
      <c r="B9" s="920" t="s">
        <v>43</v>
      </c>
      <c r="C9" s="1158">
        <v>5</v>
      </c>
    </row>
    <row r="10" spans="1:3" x14ac:dyDescent="0.2">
      <c r="B10" s="1156" t="s">
        <v>44</v>
      </c>
      <c r="C10" s="1158">
        <v>60</v>
      </c>
    </row>
    <row r="11" spans="1:3" x14ac:dyDescent="0.2">
      <c r="B11" s="1156"/>
      <c r="C11" s="1158"/>
    </row>
    <row r="12" spans="1:3" ht="42.75" customHeight="1" x14ac:dyDescent="0.2">
      <c r="B12" s="2777" t="s">
        <v>45</v>
      </c>
      <c r="C12" s="2778"/>
    </row>
    <row r="13" spans="1:3" ht="32" x14ac:dyDescent="0.2">
      <c r="B13" s="1160" t="s">
        <v>46</v>
      </c>
      <c r="C13" s="924">
        <v>0.05</v>
      </c>
    </row>
    <row r="15" spans="1:3" x14ac:dyDescent="0.2">
      <c r="B15" s="2775" t="s">
        <v>12</v>
      </c>
      <c r="C15" s="2776"/>
    </row>
    <row r="16" spans="1:3" x14ac:dyDescent="0.2">
      <c r="B16" s="889" t="s">
        <v>47</v>
      </c>
      <c r="C16" s="1161"/>
    </row>
    <row r="18" spans="2:3" x14ac:dyDescent="0.2">
      <c r="B18" s="2773" t="s">
        <v>13</v>
      </c>
      <c r="C18" s="2774"/>
    </row>
    <row r="19" spans="2:3" x14ac:dyDescent="0.2">
      <c r="B19" s="1162" t="s">
        <v>48</v>
      </c>
      <c r="C19" s="1164">
        <f>'General Assumptions'!$C$8</f>
        <v>50</v>
      </c>
    </row>
    <row r="20" spans="2:3" x14ac:dyDescent="0.2">
      <c r="B20" s="997" t="s">
        <v>49</v>
      </c>
      <c r="C20" s="998">
        <v>0.3</v>
      </c>
    </row>
    <row r="21" spans="2:3" x14ac:dyDescent="0.2">
      <c r="B21" s="997" t="s">
        <v>50</v>
      </c>
      <c r="C21" s="1163">
        <v>1</v>
      </c>
    </row>
    <row r="22" spans="2:3" x14ac:dyDescent="0.2">
      <c r="B22" s="997" t="s">
        <v>51</v>
      </c>
      <c r="C22" s="1163">
        <v>7</v>
      </c>
    </row>
    <row r="23" spans="2:3" x14ac:dyDescent="0.2">
      <c r="B23" s="997" t="s">
        <v>52</v>
      </c>
      <c r="C23" s="1163">
        <v>30</v>
      </c>
    </row>
    <row r="24" spans="2:3" x14ac:dyDescent="0.2">
      <c r="B24" s="997" t="s">
        <v>53</v>
      </c>
      <c r="C24" s="1163">
        <v>4</v>
      </c>
    </row>
    <row r="25" spans="2:3" x14ac:dyDescent="0.2">
      <c r="B25" s="1001" t="s">
        <v>54</v>
      </c>
      <c r="C25" s="1165">
        <v>1140</v>
      </c>
    </row>
    <row r="27" spans="2:3" x14ac:dyDescent="0.2">
      <c r="B27" s="2771" t="s">
        <v>14</v>
      </c>
      <c r="C27" s="2772"/>
    </row>
    <row r="28" spans="2:3" x14ac:dyDescent="0.2">
      <c r="B28" s="920" t="s">
        <v>55</v>
      </c>
      <c r="C28" s="1166">
        <v>1100</v>
      </c>
    </row>
    <row r="29" spans="2:3" ht="32" x14ac:dyDescent="0.2">
      <c r="B29" s="911" t="s">
        <v>56</v>
      </c>
      <c r="C29" s="1167" t="s">
        <v>57</v>
      </c>
    </row>
    <row r="31" spans="2:3" x14ac:dyDescent="0.2">
      <c r="B31" s="2771" t="s">
        <v>15</v>
      </c>
      <c r="C31" s="2772"/>
    </row>
    <row r="32" spans="2:3" x14ac:dyDescent="0.2">
      <c r="B32" s="911" t="s">
        <v>58</v>
      </c>
      <c r="C32" s="913">
        <v>8</v>
      </c>
    </row>
    <row r="34" spans="2:3" x14ac:dyDescent="0.2">
      <c r="B34" s="2771" t="s">
        <v>59</v>
      </c>
      <c r="C34" s="2772"/>
    </row>
    <row r="35" spans="2:3" x14ac:dyDescent="0.2">
      <c r="B35" s="920" t="s">
        <v>60</v>
      </c>
      <c r="C35" s="1158">
        <v>12</v>
      </c>
    </row>
    <row r="36" spans="2:3" x14ac:dyDescent="0.2">
      <c r="B36" s="920"/>
      <c r="C36" s="1158"/>
    </row>
    <row r="37" spans="2:3" x14ac:dyDescent="0.2">
      <c r="B37" s="1156" t="s">
        <v>61</v>
      </c>
      <c r="C37" s="922">
        <v>0.1</v>
      </c>
    </row>
    <row r="38" spans="2:3" x14ac:dyDescent="0.2">
      <c r="B38" s="1156" t="s">
        <v>62</v>
      </c>
      <c r="C38" s="922">
        <v>0.01</v>
      </c>
    </row>
    <row r="39" spans="2:3" x14ac:dyDescent="0.2">
      <c r="B39" s="1156" t="s">
        <v>63</v>
      </c>
      <c r="C39" s="1168">
        <v>1E-3</v>
      </c>
    </row>
    <row r="40" spans="2:3" x14ac:dyDescent="0.2">
      <c r="B40" s="920"/>
      <c r="C40" s="1158"/>
    </row>
    <row r="41" spans="2:3" x14ac:dyDescent="0.2">
      <c r="B41" s="920" t="s">
        <v>64</v>
      </c>
      <c r="C41" s="922">
        <v>0.01</v>
      </c>
    </row>
    <row r="42" spans="2:3" x14ac:dyDescent="0.2">
      <c r="B42" s="911" t="s">
        <v>65</v>
      </c>
      <c r="C42" s="1157">
        <v>1E-3</v>
      </c>
    </row>
    <row r="44" spans="2:3" s="1985" customFormat="1" x14ac:dyDescent="0.2">
      <c r="B44" s="1986" t="s">
        <v>66</v>
      </c>
    </row>
    <row r="45" spans="2:3" s="968" customFormat="1" x14ac:dyDescent="0.2">
      <c r="B45" s="1987"/>
    </row>
    <row r="46" spans="2:3" x14ac:dyDescent="0.2">
      <c r="B46" s="2346" t="s">
        <v>67</v>
      </c>
      <c r="C46" s="806"/>
    </row>
    <row r="47" spans="2:3" x14ac:dyDescent="0.2">
      <c r="B47" s="921" t="s">
        <v>68</v>
      </c>
      <c r="C47" s="1174">
        <v>0.3</v>
      </c>
    </row>
    <row r="48" spans="2:3" x14ac:dyDescent="0.2">
      <c r="B48" s="923" t="s">
        <v>69</v>
      </c>
      <c r="C48" s="2345">
        <v>0.8</v>
      </c>
    </row>
    <row r="50" spans="2:7" x14ac:dyDescent="0.2">
      <c r="B50" s="1151" t="s">
        <v>70</v>
      </c>
      <c r="C50" s="2347" t="s">
        <v>71</v>
      </c>
      <c r="D50" s="2347" t="s">
        <v>72</v>
      </c>
      <c r="E50" s="2347" t="s">
        <v>73</v>
      </c>
      <c r="F50" s="2347" t="s">
        <v>74</v>
      </c>
      <c r="G50" s="2348" t="s">
        <v>75</v>
      </c>
    </row>
    <row r="51" spans="2:7" x14ac:dyDescent="0.2">
      <c r="B51" s="921" t="s">
        <v>76</v>
      </c>
      <c r="C51" s="2351">
        <v>0.02</v>
      </c>
      <c r="D51" s="2351">
        <v>0.03</v>
      </c>
      <c r="E51" s="2351">
        <v>0.06</v>
      </c>
      <c r="F51" s="2351">
        <v>7.0000000000000007E-2</v>
      </c>
      <c r="G51" s="2349">
        <v>0.08</v>
      </c>
    </row>
    <row r="52" spans="2:7" x14ac:dyDescent="0.2">
      <c r="B52" s="923" t="s">
        <v>77</v>
      </c>
      <c r="C52" s="2352">
        <v>0.01</v>
      </c>
      <c r="D52" s="2352">
        <v>0.01</v>
      </c>
      <c r="E52" s="2352">
        <v>0.01</v>
      </c>
      <c r="F52" s="2352">
        <v>0.01</v>
      </c>
      <c r="G52" s="2350">
        <v>0.01</v>
      </c>
    </row>
  </sheetData>
  <mergeCells count="7">
    <mergeCell ref="B34:C34"/>
    <mergeCell ref="B18:C18"/>
    <mergeCell ref="B5:C5"/>
    <mergeCell ref="B15:C15"/>
    <mergeCell ref="B27:C27"/>
    <mergeCell ref="B31:C31"/>
    <mergeCell ref="B12:C12"/>
  </mergeCells>
  <phoneticPr fontId="59" type="noConversion"/>
  <hyperlinks>
    <hyperlink ref="A1" location="index!A1" display="Index"/>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W1002"/>
  <sheetViews>
    <sheetView showGridLines="0" topLeftCell="A27" zoomScale="75" workbookViewId="0">
      <selection activeCell="B37" sqref="B37"/>
    </sheetView>
  </sheetViews>
  <sheetFormatPr baseColWidth="10" defaultColWidth="14.5" defaultRowHeight="15" customHeight="1" x14ac:dyDescent="0.2"/>
  <cols>
    <col min="1" max="1" width="8" style="16" customWidth="1"/>
    <col min="2" max="2" width="20.6640625" style="16" customWidth="1"/>
    <col min="3" max="3" width="8.6640625" style="16" customWidth="1"/>
    <col min="4" max="13" width="4.6640625" style="16" customWidth="1"/>
    <col min="14" max="18" width="7.1640625" style="16" customWidth="1"/>
    <col min="19" max="16384" width="14.5" style="16"/>
  </cols>
  <sheetData>
    <row r="1" spans="1:23" ht="12" customHeight="1" x14ac:dyDescent="0.2">
      <c r="A1" s="1771" t="s">
        <v>38</v>
      </c>
    </row>
    <row r="2" spans="1:23" ht="12" customHeight="1" x14ac:dyDescent="0.2">
      <c r="A2" s="271"/>
      <c r="B2" s="271"/>
      <c r="C2" s="271"/>
      <c r="D2" s="271"/>
      <c r="E2" s="271"/>
      <c r="F2" s="271"/>
      <c r="G2" s="271"/>
      <c r="H2" s="271"/>
      <c r="I2" s="271"/>
      <c r="J2" s="271"/>
      <c r="K2" s="271"/>
      <c r="L2" s="271"/>
      <c r="M2" s="271"/>
      <c r="N2" s="271"/>
      <c r="O2" s="271"/>
      <c r="P2" s="271"/>
      <c r="Q2" s="271"/>
      <c r="R2" s="271"/>
    </row>
    <row r="3" spans="1:23" ht="12" customHeight="1" x14ac:dyDescent="0.2">
      <c r="A3" s="271"/>
      <c r="B3" s="271"/>
      <c r="C3" s="271"/>
      <c r="D3" s="271"/>
      <c r="E3" s="271"/>
      <c r="F3" s="271"/>
      <c r="G3" s="271"/>
      <c r="H3" s="271"/>
      <c r="I3" s="271"/>
      <c r="J3" s="271"/>
      <c r="K3" s="271"/>
      <c r="L3" s="271"/>
      <c r="M3" s="271"/>
      <c r="N3" s="271"/>
      <c r="O3" s="271"/>
      <c r="P3" s="271"/>
      <c r="Q3" s="271"/>
      <c r="R3" s="271"/>
    </row>
    <row r="4" spans="1:23" ht="12" customHeight="1" x14ac:dyDescent="0.2">
      <c r="A4" s="271"/>
      <c r="B4" s="271"/>
      <c r="C4" s="271"/>
      <c r="D4" s="271"/>
      <c r="E4" s="271"/>
      <c r="F4" s="271"/>
      <c r="G4" s="271"/>
      <c r="H4" s="271"/>
      <c r="I4" s="271"/>
      <c r="J4" s="271"/>
      <c r="K4" s="271"/>
      <c r="L4" s="271"/>
      <c r="M4" s="271"/>
      <c r="N4" s="271"/>
      <c r="P4" s="271"/>
      <c r="Q4" s="271"/>
      <c r="R4" s="271"/>
    </row>
    <row r="5" spans="1:23" ht="12" customHeight="1" x14ac:dyDescent="0.2">
      <c r="A5" s="271"/>
      <c r="B5" s="271"/>
      <c r="C5" s="271"/>
      <c r="D5" s="271"/>
      <c r="E5" s="271"/>
      <c r="F5" s="271"/>
      <c r="G5" s="271"/>
      <c r="H5" s="271"/>
      <c r="I5" s="271"/>
      <c r="J5" s="271"/>
      <c r="K5" s="271"/>
      <c r="L5" s="271"/>
      <c r="M5" s="271"/>
      <c r="N5" s="271"/>
      <c r="O5" s="271"/>
      <c r="P5" s="271"/>
      <c r="Q5" s="271"/>
      <c r="R5" s="271"/>
      <c r="T5" s="279"/>
    </row>
    <row r="6" spans="1:23" ht="12" customHeight="1" x14ac:dyDescent="0.2">
      <c r="A6" s="271"/>
      <c r="B6" s="271"/>
      <c r="C6" s="271"/>
      <c r="D6" s="271"/>
      <c r="E6" s="271"/>
      <c r="F6" s="271"/>
      <c r="G6" s="271"/>
      <c r="H6" s="271"/>
      <c r="I6" s="271"/>
      <c r="J6" s="271"/>
      <c r="K6" s="271"/>
      <c r="L6" s="271"/>
      <c r="M6" s="271"/>
      <c r="N6" s="271"/>
      <c r="O6" s="271"/>
      <c r="P6" s="271"/>
      <c r="Q6" s="271"/>
      <c r="R6" s="271"/>
      <c r="T6" s="279"/>
    </row>
    <row r="7" spans="1:23" ht="12" customHeight="1" x14ac:dyDescent="0.2">
      <c r="A7" s="271"/>
      <c r="B7" s="271"/>
      <c r="C7" s="271"/>
      <c r="D7" s="271"/>
      <c r="E7" s="271"/>
      <c r="F7" s="271"/>
      <c r="G7" s="271"/>
      <c r="H7" s="271"/>
      <c r="I7" s="271"/>
      <c r="J7" s="271"/>
      <c r="K7" s="271"/>
      <c r="L7" s="271"/>
      <c r="M7" s="271"/>
      <c r="N7" s="271"/>
      <c r="O7" s="271"/>
      <c r="P7" s="271"/>
      <c r="Q7" s="271"/>
      <c r="R7" s="271"/>
    </row>
    <row r="8" spans="1:23" ht="23" customHeight="1" x14ac:dyDescent="0.2">
      <c r="A8" s="271"/>
      <c r="B8" s="271"/>
      <c r="C8" s="271"/>
      <c r="D8" s="271"/>
      <c r="E8" s="271"/>
      <c r="F8" s="271"/>
      <c r="G8" s="271"/>
      <c r="H8" s="271"/>
      <c r="I8" s="271"/>
      <c r="J8" s="271"/>
      <c r="K8" s="271"/>
      <c r="L8" s="271"/>
      <c r="M8" s="271"/>
      <c r="N8" s="271"/>
      <c r="O8" s="271"/>
      <c r="P8" s="271"/>
      <c r="Q8" s="271"/>
      <c r="R8" s="271"/>
      <c r="T8" s="271"/>
    </row>
    <row r="9" spans="1:23" ht="12" customHeight="1" x14ac:dyDescent="0.2">
      <c r="A9" s="271"/>
      <c r="B9" s="271"/>
      <c r="C9" s="271"/>
      <c r="D9" s="271"/>
      <c r="E9" s="271"/>
      <c r="F9" s="271"/>
      <c r="G9" s="271"/>
      <c r="H9" s="271"/>
      <c r="I9" s="271"/>
      <c r="J9" s="271"/>
      <c r="K9" s="271"/>
      <c r="L9" s="271"/>
      <c r="M9" s="271"/>
      <c r="N9" s="271"/>
      <c r="O9" s="271"/>
      <c r="P9" s="271"/>
      <c r="Q9" s="271"/>
      <c r="R9" s="271"/>
    </row>
    <row r="10" spans="1:23" ht="12" customHeight="1" x14ac:dyDescent="0.2">
      <c r="A10" s="271"/>
      <c r="B10" s="271"/>
      <c r="C10" s="271"/>
      <c r="D10" s="271"/>
      <c r="F10" s="271"/>
      <c r="G10" s="271"/>
      <c r="H10" s="271"/>
      <c r="I10" s="271"/>
      <c r="J10" s="271"/>
      <c r="K10" s="271"/>
      <c r="L10" s="271"/>
      <c r="M10" s="271"/>
      <c r="N10" s="271"/>
      <c r="O10" s="271"/>
      <c r="P10" s="271"/>
      <c r="Q10" s="271"/>
      <c r="R10" s="271"/>
    </row>
    <row r="11" spans="1:23" ht="12" customHeight="1" x14ac:dyDescent="0.2">
      <c r="A11" s="271"/>
      <c r="B11" s="271"/>
      <c r="C11" s="271"/>
      <c r="D11" s="271"/>
      <c r="E11" s="271"/>
      <c r="F11" s="271"/>
      <c r="G11" s="271"/>
      <c r="H11" s="271"/>
      <c r="I11" s="271"/>
      <c r="J11" s="271"/>
      <c r="K11" s="271"/>
      <c r="L11" s="271"/>
      <c r="M11" s="271"/>
      <c r="N11" s="271"/>
      <c r="O11" s="271"/>
      <c r="P11" s="271"/>
      <c r="Q11" s="271"/>
      <c r="R11" s="271"/>
    </row>
    <row r="12" spans="1:23" ht="12" customHeight="1" x14ac:dyDescent="0.2">
      <c r="A12" s="271"/>
      <c r="B12" s="271"/>
      <c r="C12" s="271"/>
      <c r="D12" s="270"/>
      <c r="E12" s="270"/>
      <c r="F12" s="270"/>
      <c r="G12" s="270"/>
      <c r="H12" s="270"/>
      <c r="I12" s="270"/>
      <c r="J12" s="270"/>
      <c r="K12" s="270"/>
      <c r="L12" s="270"/>
      <c r="M12" s="270"/>
      <c r="N12" s="271"/>
      <c r="O12" s="271"/>
      <c r="P12" s="271"/>
      <c r="Q12" s="271"/>
      <c r="R12" s="271"/>
    </row>
    <row r="13" spans="1:23" ht="12" customHeight="1" x14ac:dyDescent="0.2">
      <c r="A13" s="271"/>
      <c r="B13" s="271"/>
      <c r="C13" s="271"/>
      <c r="D13" s="270"/>
      <c r="E13" s="270"/>
      <c r="F13" s="270"/>
      <c r="G13" s="270"/>
      <c r="H13" s="270"/>
      <c r="I13" s="270"/>
      <c r="J13" s="270"/>
      <c r="K13" s="270"/>
      <c r="L13" s="270"/>
      <c r="M13" s="270"/>
      <c r="N13" s="271"/>
      <c r="O13" s="271"/>
      <c r="P13" s="271"/>
      <c r="Q13" s="271"/>
      <c r="R13" s="271"/>
    </row>
    <row r="14" spans="1:23" ht="12" customHeight="1" x14ac:dyDescent="0.2">
      <c r="A14" s="271"/>
      <c r="B14" s="271"/>
      <c r="C14" s="271"/>
      <c r="D14" s="2933" t="s">
        <v>603</v>
      </c>
      <c r="E14" s="2934"/>
      <c r="F14" s="2934"/>
      <c r="G14" s="2934"/>
      <c r="H14" s="2934"/>
      <c r="I14" s="2934"/>
      <c r="J14" s="2934"/>
      <c r="K14" s="2934"/>
      <c r="L14" s="2934"/>
      <c r="M14" s="2935"/>
      <c r="N14" s="271"/>
      <c r="O14" s="271"/>
      <c r="P14" s="271"/>
      <c r="Q14" s="271"/>
      <c r="R14" s="271"/>
    </row>
    <row r="15" spans="1:23" ht="53.25" customHeight="1" x14ac:dyDescent="0.2">
      <c r="A15" s="271"/>
      <c r="B15" s="111"/>
      <c r="C15" s="280"/>
      <c r="D15" s="2936" t="s">
        <v>1431</v>
      </c>
      <c r="E15" s="2936" t="s">
        <v>604</v>
      </c>
      <c r="F15" s="2939" t="s">
        <v>610</v>
      </c>
      <c r="G15" s="2936" t="s">
        <v>605</v>
      </c>
      <c r="H15" s="2936" t="s">
        <v>1432</v>
      </c>
      <c r="I15" s="2939" t="s">
        <v>606</v>
      </c>
      <c r="J15" s="2939" t="s">
        <v>607</v>
      </c>
      <c r="K15" s="2941" t="s">
        <v>608</v>
      </c>
      <c r="L15" s="2941"/>
      <c r="M15" s="2941"/>
      <c r="N15" s="111"/>
      <c r="O15" s="111"/>
      <c r="P15" s="111"/>
      <c r="Q15" s="111"/>
      <c r="R15" s="111"/>
      <c r="S15" s="271"/>
    </row>
    <row r="16" spans="1:23" ht="113" customHeight="1" x14ac:dyDescent="0.2">
      <c r="A16" s="271"/>
      <c r="B16" s="111" t="s">
        <v>609</v>
      </c>
      <c r="C16" s="272" t="s">
        <v>1433</v>
      </c>
      <c r="D16" s="2937"/>
      <c r="E16" s="2938"/>
      <c r="F16" s="2940"/>
      <c r="G16" s="2937"/>
      <c r="H16" s="2937"/>
      <c r="I16" s="2940"/>
      <c r="J16" s="2940"/>
      <c r="K16" s="2942"/>
      <c r="L16" s="2942"/>
      <c r="M16" s="2942"/>
      <c r="N16" s="21">
        <v>1</v>
      </c>
      <c r="O16" s="21">
        <v>2</v>
      </c>
      <c r="P16" s="21">
        <v>3</v>
      </c>
      <c r="Q16" s="21">
        <v>4</v>
      </c>
      <c r="R16" s="21">
        <v>5</v>
      </c>
      <c r="S16" s="271"/>
      <c r="W16" s="2329"/>
    </row>
    <row r="17" spans="1:23" ht="23" customHeight="1" x14ac:dyDescent="0.2">
      <c r="A17" s="271"/>
      <c r="B17" s="276" t="s">
        <v>268</v>
      </c>
      <c r="C17" s="273">
        <v>0.23</v>
      </c>
      <c r="D17" s="275"/>
      <c r="E17" s="275"/>
      <c r="F17" s="274" t="s">
        <v>612</v>
      </c>
      <c r="G17" s="275"/>
      <c r="H17" s="275"/>
      <c r="I17" s="275"/>
      <c r="J17" s="275"/>
      <c r="K17" s="275"/>
      <c r="L17" s="275"/>
      <c r="M17" s="2330"/>
      <c r="N17" s="2331" t="s">
        <v>618</v>
      </c>
      <c r="O17" s="2332"/>
      <c r="P17" s="2332"/>
      <c r="Q17" s="2332"/>
      <c r="R17" s="2333" t="s">
        <v>615</v>
      </c>
    </row>
    <row r="18" spans="1:23" ht="23" customHeight="1" x14ac:dyDescent="0.2">
      <c r="A18" s="271"/>
      <c r="B18" s="1150" t="s">
        <v>611</v>
      </c>
      <c r="C18" s="273">
        <v>0.18</v>
      </c>
      <c r="D18" s="274" t="s">
        <v>612</v>
      </c>
      <c r="E18" s="274" t="s">
        <v>612</v>
      </c>
      <c r="F18" s="275"/>
      <c r="G18" s="275" t="s">
        <v>613</v>
      </c>
      <c r="H18" s="275"/>
      <c r="I18" s="275"/>
      <c r="J18" s="275"/>
      <c r="K18" s="275"/>
      <c r="L18" s="275"/>
      <c r="M18" s="2330"/>
      <c r="N18" s="2334"/>
      <c r="O18" s="2335" t="s">
        <v>614</v>
      </c>
      <c r="P18" s="2335"/>
      <c r="Q18" s="2335" t="s">
        <v>615</v>
      </c>
      <c r="R18" s="2336" t="s">
        <v>616</v>
      </c>
      <c r="S18" s="2337"/>
    </row>
    <row r="19" spans="1:23" ht="23" customHeight="1" x14ac:dyDescent="0.2">
      <c r="A19" s="271"/>
      <c r="B19" s="1150" t="s">
        <v>617</v>
      </c>
      <c r="C19" s="273">
        <v>0.16</v>
      </c>
      <c r="D19" s="274" t="s">
        <v>612</v>
      </c>
      <c r="E19" s="274" t="s">
        <v>612</v>
      </c>
      <c r="F19" s="275"/>
      <c r="G19" s="275" t="s">
        <v>613</v>
      </c>
      <c r="H19" s="275"/>
      <c r="I19" s="275"/>
      <c r="J19" s="275"/>
      <c r="K19" s="275"/>
      <c r="L19" s="275"/>
      <c r="M19" s="2330"/>
      <c r="N19" s="2334"/>
      <c r="O19" s="2335" t="s">
        <v>614</v>
      </c>
      <c r="P19" s="2335" t="s">
        <v>615</v>
      </c>
      <c r="Q19" s="2335" t="s">
        <v>616</v>
      </c>
      <c r="R19" s="2336"/>
    </row>
    <row r="20" spans="1:23" ht="23" customHeight="1" x14ac:dyDescent="0.2">
      <c r="A20" s="271"/>
      <c r="B20" s="1150" t="s">
        <v>619</v>
      </c>
      <c r="C20" s="273">
        <v>0.11</v>
      </c>
      <c r="D20" s="274" t="s">
        <v>613</v>
      </c>
      <c r="E20" s="274" t="s">
        <v>613</v>
      </c>
      <c r="F20" s="274" t="s">
        <v>613</v>
      </c>
      <c r="G20" s="274" t="s">
        <v>612</v>
      </c>
      <c r="H20" s="274" t="s">
        <v>613</v>
      </c>
      <c r="I20" s="275"/>
      <c r="J20" s="275" t="s">
        <v>620</v>
      </c>
      <c r="K20" s="275"/>
      <c r="L20" s="275"/>
      <c r="M20" s="2330"/>
      <c r="N20" s="2334"/>
      <c r="O20" s="2335"/>
      <c r="P20" s="2335" t="s">
        <v>616</v>
      </c>
      <c r="Q20" s="2335" t="s">
        <v>614</v>
      </c>
      <c r="R20" s="2336" t="s">
        <v>615</v>
      </c>
    </row>
    <row r="21" spans="1:23" ht="23" customHeight="1" x14ac:dyDescent="0.2">
      <c r="A21" s="271"/>
      <c r="B21" s="1152" t="s">
        <v>621</v>
      </c>
      <c r="C21" s="273">
        <v>0.1</v>
      </c>
      <c r="D21" s="274" t="s">
        <v>622</v>
      </c>
      <c r="E21" s="274" t="s">
        <v>622</v>
      </c>
      <c r="F21" s="274" t="s">
        <v>622</v>
      </c>
      <c r="G21" s="275"/>
      <c r="H21" s="274" t="s">
        <v>612</v>
      </c>
      <c r="I21" s="275"/>
      <c r="J21" s="275"/>
      <c r="K21" s="275"/>
      <c r="L21" s="275"/>
      <c r="M21" s="2330"/>
      <c r="N21" s="2334"/>
      <c r="O21" s="2335" t="s">
        <v>615</v>
      </c>
      <c r="P21" s="2335" t="s">
        <v>618</v>
      </c>
      <c r="Q21" s="2335"/>
      <c r="R21" s="2336"/>
    </row>
    <row r="22" spans="1:23" ht="23" customHeight="1" x14ac:dyDescent="0.2">
      <c r="A22" s="271"/>
      <c r="B22" s="1150" t="s">
        <v>623</v>
      </c>
      <c r="C22" s="273">
        <v>0.09</v>
      </c>
      <c r="D22" s="275" t="s">
        <v>613</v>
      </c>
      <c r="E22" s="275" t="s">
        <v>613</v>
      </c>
      <c r="F22" s="275"/>
      <c r="G22" s="274" t="s">
        <v>612</v>
      </c>
      <c r="H22" s="275"/>
      <c r="I22" s="275"/>
      <c r="J22" s="275"/>
      <c r="K22" s="275"/>
      <c r="L22" s="275"/>
      <c r="M22" s="2330"/>
      <c r="N22" s="2334"/>
      <c r="O22" s="2335"/>
      <c r="P22" s="2335" t="s">
        <v>618</v>
      </c>
      <c r="Q22" s="2335" t="s">
        <v>615</v>
      </c>
      <c r="R22" s="2336"/>
    </row>
    <row r="23" spans="1:23" ht="23" customHeight="1" x14ac:dyDescent="0.2">
      <c r="A23" s="271"/>
      <c r="B23" s="1150" t="s">
        <v>624</v>
      </c>
      <c r="C23" s="273">
        <v>0.06</v>
      </c>
      <c r="D23" s="275"/>
      <c r="E23" s="275"/>
      <c r="F23" s="275"/>
      <c r="G23" s="275"/>
      <c r="H23" s="275"/>
      <c r="I23" s="274" t="s">
        <v>612</v>
      </c>
      <c r="J23" s="275"/>
      <c r="K23" s="275"/>
      <c r="L23" s="275"/>
      <c r="M23" s="2330"/>
      <c r="N23" s="2334"/>
      <c r="O23" s="2335"/>
      <c r="P23" s="2335" t="s">
        <v>625</v>
      </c>
      <c r="Q23" s="2335"/>
      <c r="R23" s="2336"/>
    </row>
    <row r="24" spans="1:23" ht="23" customHeight="1" x14ac:dyDescent="0.2">
      <c r="A24" s="271"/>
      <c r="B24" s="1150" t="s">
        <v>626</v>
      </c>
      <c r="C24" s="273">
        <v>0.04</v>
      </c>
      <c r="D24" s="275"/>
      <c r="E24" s="275"/>
      <c r="F24" s="275"/>
      <c r="G24" s="275"/>
      <c r="H24" s="275"/>
      <c r="I24" s="275"/>
      <c r="J24" s="274" t="s">
        <v>612</v>
      </c>
      <c r="K24" s="275"/>
      <c r="L24" s="275"/>
      <c r="M24" s="2330"/>
      <c r="N24" s="2334"/>
      <c r="O24" s="2335"/>
      <c r="P24" s="2335" t="s">
        <v>625</v>
      </c>
      <c r="Q24" s="2335"/>
      <c r="R24" s="2336"/>
    </row>
    <row r="25" spans="1:23" ht="23" customHeight="1" x14ac:dyDescent="0.2">
      <c r="A25" s="271"/>
      <c r="B25" s="1150" t="s">
        <v>627</v>
      </c>
      <c r="C25" s="273">
        <v>0.03</v>
      </c>
      <c r="D25" s="275"/>
      <c r="E25" s="275"/>
      <c r="F25" s="275"/>
      <c r="G25" s="275"/>
      <c r="H25" s="275"/>
      <c r="I25" s="275"/>
      <c r="J25" s="275"/>
      <c r="K25" s="274" t="s">
        <v>612</v>
      </c>
      <c r="L25" s="274"/>
      <c r="M25" s="2330"/>
      <c r="N25" s="2338"/>
      <c r="O25" s="2339"/>
      <c r="P25" s="2339" t="s">
        <v>618</v>
      </c>
      <c r="Q25" s="2339" t="s">
        <v>628</v>
      </c>
      <c r="R25" s="2340"/>
      <c r="V25" s="279"/>
    </row>
    <row r="26" spans="1:23" ht="15" customHeight="1" x14ac:dyDescent="0.2">
      <c r="A26" s="271"/>
      <c r="B26" s="275"/>
      <c r="C26" s="273"/>
      <c r="D26" s="275"/>
      <c r="E26" s="275"/>
      <c r="F26" s="275"/>
      <c r="G26" s="275"/>
      <c r="H26" s="275"/>
      <c r="I26" s="275"/>
      <c r="J26" s="275"/>
      <c r="K26" s="275"/>
      <c r="L26" s="275"/>
      <c r="M26" s="275"/>
      <c r="N26" s="271"/>
      <c r="O26" s="271"/>
      <c r="P26" s="271"/>
      <c r="Q26" s="271"/>
      <c r="R26" s="271"/>
      <c r="V26" s="279"/>
    </row>
    <row r="27" spans="1:23" ht="15" customHeight="1" x14ac:dyDescent="0.2">
      <c r="A27" s="271"/>
      <c r="B27" s="277" t="s">
        <v>629</v>
      </c>
      <c r="C27" s="278"/>
      <c r="D27" s="2341" t="s">
        <v>630</v>
      </c>
      <c r="E27" s="2341" t="s">
        <v>1434</v>
      </c>
      <c r="F27" s="2342" t="s">
        <v>631</v>
      </c>
      <c r="G27" s="2341" t="s">
        <v>632</v>
      </c>
      <c r="H27" s="2341" t="s">
        <v>1435</v>
      </c>
      <c r="I27" s="2341" t="s">
        <v>633</v>
      </c>
      <c r="J27" s="2341" t="s">
        <v>225</v>
      </c>
      <c r="K27" s="2341" t="s">
        <v>633</v>
      </c>
      <c r="L27" s="2341"/>
      <c r="M27" s="275"/>
      <c r="N27" s="271"/>
      <c r="O27" s="271"/>
      <c r="P27" s="271"/>
      <c r="Q27" s="271"/>
      <c r="R27" s="271"/>
      <c r="V27" s="279"/>
    </row>
    <row r="28" spans="1:23" ht="15" customHeight="1" x14ac:dyDescent="0.2">
      <c r="A28" s="271"/>
      <c r="B28" s="277" t="s">
        <v>634</v>
      </c>
      <c r="C28" s="278"/>
      <c r="D28" s="2343">
        <v>3000</v>
      </c>
      <c r="E28" s="2341">
        <v>2.4</v>
      </c>
      <c r="F28" s="2341">
        <v>0</v>
      </c>
      <c r="G28" s="2341">
        <v>2.4</v>
      </c>
      <c r="H28" s="2341">
        <v>8</v>
      </c>
      <c r="I28" s="2341">
        <v>20</v>
      </c>
      <c r="J28" s="2341" t="s">
        <v>635</v>
      </c>
      <c r="K28" s="2341">
        <v>20</v>
      </c>
      <c r="L28" s="2341"/>
      <c r="M28" s="275"/>
      <c r="N28" s="271"/>
      <c r="O28" s="271"/>
      <c r="P28" s="271"/>
      <c r="Q28" s="271"/>
      <c r="R28" s="271"/>
    </row>
    <row r="29" spans="1:23" ht="13.5" customHeight="1" x14ac:dyDescent="0.2">
      <c r="A29" s="271"/>
      <c r="B29" s="277" t="s">
        <v>636</v>
      </c>
      <c r="C29" s="278"/>
      <c r="D29" s="2343">
        <v>12000</v>
      </c>
      <c r="E29" s="2341">
        <v>2.4</v>
      </c>
      <c r="F29" s="2341">
        <v>0</v>
      </c>
      <c r="G29" s="2341">
        <v>5.7</v>
      </c>
      <c r="H29" s="2341">
        <v>9</v>
      </c>
      <c r="I29" s="2341">
        <v>20</v>
      </c>
      <c r="J29" s="2341" t="s">
        <v>637</v>
      </c>
      <c r="K29" s="2341">
        <v>20</v>
      </c>
      <c r="L29" s="2341"/>
      <c r="M29" s="275"/>
      <c r="N29" s="271"/>
      <c r="O29" s="271"/>
      <c r="P29" s="271"/>
      <c r="Q29" s="271"/>
      <c r="R29" s="271"/>
    </row>
    <row r="30" spans="1:23" ht="12" customHeight="1" x14ac:dyDescent="0.2">
      <c r="A30" s="271"/>
      <c r="B30" s="277" t="s">
        <v>638</v>
      </c>
      <c r="C30" s="275"/>
      <c r="D30" s="2343">
        <v>10000</v>
      </c>
      <c r="E30" s="2341">
        <v>2.1</v>
      </c>
      <c r="F30" s="2344">
        <v>0.3</v>
      </c>
      <c r="G30" s="2341">
        <v>4</v>
      </c>
      <c r="H30" s="2341">
        <v>5</v>
      </c>
      <c r="I30" s="2341">
        <v>22</v>
      </c>
      <c r="J30" s="2341" t="s">
        <v>637</v>
      </c>
      <c r="K30" s="2341">
        <v>22</v>
      </c>
      <c r="L30" s="2341"/>
      <c r="M30" s="271"/>
      <c r="N30" s="271"/>
      <c r="O30" s="271"/>
      <c r="P30" s="271"/>
      <c r="Q30" s="271"/>
      <c r="R30" s="271"/>
      <c r="S30" s="271"/>
      <c r="T30" s="271"/>
      <c r="U30" s="271"/>
      <c r="V30" s="271"/>
      <c r="W30" s="271"/>
    </row>
    <row r="31" spans="1:23" ht="12" customHeight="1" x14ac:dyDescent="0.2">
      <c r="A31" s="271"/>
      <c r="B31" s="271"/>
      <c r="C31" s="271"/>
      <c r="D31" s="271"/>
      <c r="E31" s="271"/>
      <c r="F31" s="271"/>
      <c r="G31" s="271"/>
      <c r="H31" s="271"/>
      <c r="I31" s="271"/>
      <c r="J31" s="271"/>
      <c r="K31" s="271"/>
      <c r="L31" s="271"/>
      <c r="M31" s="271"/>
      <c r="N31" s="271"/>
      <c r="O31" s="271"/>
      <c r="P31" s="271"/>
      <c r="Q31" s="271"/>
      <c r="R31" s="271"/>
    </row>
    <row r="32" spans="1:23" ht="12" customHeight="1" x14ac:dyDescent="0.2">
      <c r="A32" s="271"/>
      <c r="B32" s="271" t="s">
        <v>639</v>
      </c>
      <c r="C32" s="271"/>
      <c r="D32" s="271"/>
      <c r="E32" s="271"/>
      <c r="F32" s="271"/>
      <c r="G32" s="271"/>
      <c r="H32" s="271"/>
      <c r="I32" s="271"/>
      <c r="J32" s="271"/>
      <c r="K32" s="271"/>
      <c r="L32" s="271"/>
      <c r="M32" s="271"/>
      <c r="N32" s="271"/>
      <c r="O32" s="271"/>
      <c r="P32" s="271"/>
      <c r="Q32" s="271"/>
      <c r="R32" s="271"/>
    </row>
    <row r="33" spans="1:18" ht="12" customHeight="1" x14ac:dyDescent="0.2">
      <c r="A33" s="271"/>
      <c r="B33" s="271" t="s">
        <v>640</v>
      </c>
      <c r="C33" s="271"/>
      <c r="D33" s="271"/>
      <c r="E33" s="271"/>
      <c r="F33" s="271"/>
      <c r="G33" s="271"/>
      <c r="H33" s="271"/>
      <c r="I33" s="271"/>
      <c r="J33" s="271"/>
      <c r="K33" s="271"/>
      <c r="L33" s="271"/>
      <c r="M33" s="271"/>
      <c r="N33" s="271"/>
      <c r="O33" s="271"/>
      <c r="P33" s="271"/>
      <c r="Q33" s="271"/>
      <c r="R33" s="271"/>
    </row>
    <row r="34" spans="1:18" ht="12" customHeight="1" x14ac:dyDescent="0.2">
      <c r="A34" s="271"/>
      <c r="B34" s="271" t="s">
        <v>641</v>
      </c>
      <c r="C34" s="271"/>
      <c r="D34" s="271"/>
      <c r="E34" s="271"/>
      <c r="F34" s="271"/>
      <c r="G34" s="271"/>
      <c r="H34" s="271"/>
      <c r="I34" s="271"/>
      <c r="J34" s="271"/>
      <c r="K34" s="271"/>
      <c r="L34" s="271"/>
      <c r="M34" s="271"/>
      <c r="N34" s="271"/>
      <c r="O34" s="271"/>
      <c r="P34" s="271"/>
      <c r="Q34" s="271"/>
      <c r="R34" s="271"/>
    </row>
    <row r="35" spans="1:18" ht="12" customHeight="1" x14ac:dyDescent="0.2">
      <c r="A35" s="271"/>
      <c r="B35" s="271" t="s">
        <v>642</v>
      </c>
      <c r="C35" s="271"/>
      <c r="D35" s="271"/>
      <c r="E35" s="271"/>
      <c r="F35" s="271"/>
      <c r="G35" s="271"/>
      <c r="H35" s="271"/>
      <c r="I35" s="271"/>
      <c r="J35" s="271"/>
      <c r="K35" s="271"/>
      <c r="L35" s="271"/>
      <c r="M35" s="271"/>
      <c r="N35" s="271"/>
      <c r="O35" s="271"/>
      <c r="P35" s="271"/>
      <c r="Q35" s="271"/>
      <c r="R35" s="271"/>
    </row>
    <row r="36" spans="1:18" ht="12" customHeight="1" x14ac:dyDescent="0.2">
      <c r="A36" s="271"/>
      <c r="B36" s="271" t="s">
        <v>643</v>
      </c>
      <c r="C36" s="271"/>
      <c r="D36" s="271"/>
      <c r="E36" s="271"/>
      <c r="F36" s="271"/>
      <c r="G36" s="271"/>
      <c r="H36" s="271"/>
      <c r="I36" s="271"/>
      <c r="J36" s="271"/>
      <c r="K36" s="271"/>
      <c r="L36" s="271"/>
      <c r="M36" s="271"/>
      <c r="N36" s="271"/>
      <c r="O36" s="271"/>
      <c r="P36" s="271"/>
      <c r="Q36" s="271"/>
      <c r="R36" s="271"/>
    </row>
    <row r="37" spans="1:18" ht="12" customHeight="1" x14ac:dyDescent="0.2">
      <c r="A37" s="271"/>
      <c r="B37" s="271" t="s">
        <v>644</v>
      </c>
      <c r="C37" s="271"/>
      <c r="D37" s="271"/>
      <c r="E37" s="271"/>
      <c r="F37" s="271"/>
      <c r="G37" s="271"/>
      <c r="H37" s="271"/>
      <c r="I37" s="271"/>
      <c r="J37" s="271"/>
      <c r="K37" s="271"/>
      <c r="L37" s="271"/>
      <c r="M37" s="271"/>
      <c r="N37" s="271"/>
      <c r="O37" s="271"/>
      <c r="P37" s="271"/>
      <c r="Q37" s="271"/>
      <c r="R37" s="271"/>
    </row>
    <row r="38" spans="1:18" ht="12" customHeight="1" x14ac:dyDescent="0.2">
      <c r="A38" s="271"/>
      <c r="B38" s="281" t="s">
        <v>645</v>
      </c>
      <c r="C38" s="271"/>
      <c r="D38" s="271"/>
      <c r="E38" s="271"/>
      <c r="F38" s="271"/>
      <c r="G38" s="271"/>
      <c r="H38" s="271"/>
      <c r="I38" s="271"/>
      <c r="J38" s="271"/>
      <c r="K38" s="271"/>
      <c r="L38" s="271"/>
      <c r="M38" s="271"/>
      <c r="N38" s="271"/>
      <c r="O38" s="271"/>
      <c r="P38" s="271"/>
      <c r="Q38" s="271"/>
      <c r="R38" s="271"/>
    </row>
    <row r="39" spans="1:18" ht="12" customHeight="1" x14ac:dyDescent="0.2">
      <c r="A39" s="271"/>
      <c r="B39" s="271" t="s">
        <v>646</v>
      </c>
      <c r="C39" s="271"/>
      <c r="D39" s="271"/>
      <c r="E39" s="271"/>
      <c r="F39" s="271"/>
      <c r="G39" s="271"/>
      <c r="H39" s="271"/>
      <c r="I39" s="271"/>
      <c r="J39" s="271"/>
      <c r="K39" s="271"/>
      <c r="L39" s="271"/>
      <c r="M39" s="271"/>
      <c r="N39" s="271"/>
      <c r="O39" s="271"/>
      <c r="P39" s="271"/>
      <c r="Q39" s="271"/>
      <c r="R39" s="271"/>
    </row>
    <row r="40" spans="1:18" ht="12" customHeight="1" x14ac:dyDescent="0.2">
      <c r="A40" s="271"/>
      <c r="B40" s="271"/>
      <c r="C40" s="271"/>
      <c r="D40" s="271"/>
      <c r="E40" s="271"/>
      <c r="F40" s="271"/>
      <c r="G40" s="271"/>
      <c r="H40" s="271"/>
      <c r="I40" s="271"/>
      <c r="J40" s="271"/>
      <c r="K40" s="271"/>
      <c r="L40" s="271"/>
      <c r="M40" s="271"/>
      <c r="N40" s="271"/>
      <c r="O40" s="271"/>
      <c r="P40" s="271"/>
      <c r="Q40" s="271"/>
      <c r="R40" s="271"/>
    </row>
    <row r="41" spans="1:18" ht="12" customHeight="1" x14ac:dyDescent="0.2">
      <c r="A41" s="271"/>
    </row>
    <row r="42" spans="1:18" ht="12" customHeight="1" x14ac:dyDescent="0.2">
      <c r="A42" s="271"/>
    </row>
    <row r="43" spans="1:18" ht="12" customHeight="1" x14ac:dyDescent="0.2">
      <c r="A43" s="271"/>
    </row>
    <row r="44" spans="1:18" ht="12" customHeight="1" x14ac:dyDescent="0.2">
      <c r="A44" s="271"/>
    </row>
    <row r="45" spans="1:18" ht="12" customHeight="1" x14ac:dyDescent="0.2">
      <c r="A45" s="271"/>
    </row>
    <row r="46" spans="1:18" ht="12" customHeight="1" x14ac:dyDescent="0.2">
      <c r="A46" s="271"/>
    </row>
    <row r="47" spans="1:18" ht="12" customHeight="1" x14ac:dyDescent="0.2">
      <c r="A47" s="271"/>
    </row>
    <row r="48" spans="1:18" ht="12" customHeight="1" x14ac:dyDescent="0.2">
      <c r="A48" s="271"/>
    </row>
    <row r="49" spans="1:1" ht="12" customHeight="1" x14ac:dyDescent="0.2">
      <c r="A49" s="271"/>
    </row>
    <row r="50" spans="1:1" ht="12" customHeight="1" x14ac:dyDescent="0.2">
      <c r="A50" s="271"/>
    </row>
    <row r="51" spans="1:1" ht="12" customHeight="1" x14ac:dyDescent="0.2">
      <c r="A51" s="271"/>
    </row>
    <row r="52" spans="1:1" ht="12" customHeight="1" x14ac:dyDescent="0.2">
      <c r="A52" s="271"/>
    </row>
    <row r="53" spans="1:1" ht="12" customHeight="1" x14ac:dyDescent="0.2">
      <c r="A53" s="271"/>
    </row>
    <row r="54" spans="1:1" ht="12" customHeight="1" x14ac:dyDescent="0.2">
      <c r="A54" s="271"/>
    </row>
    <row r="55" spans="1:1" ht="12" customHeight="1" x14ac:dyDescent="0.2">
      <c r="A55" s="271"/>
    </row>
    <row r="56" spans="1:1" ht="12" customHeight="1" x14ac:dyDescent="0.2">
      <c r="A56" s="271"/>
    </row>
    <row r="57" spans="1:1" ht="12" customHeight="1" x14ac:dyDescent="0.2">
      <c r="A57" s="271"/>
    </row>
    <row r="58" spans="1:1" ht="12" customHeight="1" x14ac:dyDescent="0.2">
      <c r="A58" s="271"/>
    </row>
    <row r="59" spans="1:1" ht="12" customHeight="1" x14ac:dyDescent="0.2">
      <c r="A59" s="271"/>
    </row>
    <row r="60" spans="1:1" ht="12" customHeight="1" x14ac:dyDescent="0.2">
      <c r="A60" s="271"/>
    </row>
    <row r="61" spans="1:1" ht="12" customHeight="1" x14ac:dyDescent="0.2">
      <c r="A61" s="271"/>
    </row>
    <row r="62" spans="1:1" ht="12" customHeight="1" x14ac:dyDescent="0.2">
      <c r="A62" s="271"/>
    </row>
    <row r="63" spans="1:1" ht="12" customHeight="1" x14ac:dyDescent="0.2">
      <c r="A63" s="271"/>
    </row>
    <row r="64" spans="1:1" ht="12" customHeight="1" x14ac:dyDescent="0.2">
      <c r="A64" s="271"/>
    </row>
    <row r="65" spans="1:1" ht="12" customHeight="1" x14ac:dyDescent="0.2">
      <c r="A65" s="271"/>
    </row>
    <row r="66" spans="1:1" ht="12" customHeight="1" x14ac:dyDescent="0.2">
      <c r="A66" s="271"/>
    </row>
    <row r="67" spans="1:1" ht="12" customHeight="1" x14ac:dyDescent="0.2">
      <c r="A67" s="271"/>
    </row>
    <row r="68" spans="1:1" ht="12" customHeight="1" x14ac:dyDescent="0.2">
      <c r="A68" s="271"/>
    </row>
    <row r="69" spans="1:1" ht="12" customHeight="1" x14ac:dyDescent="0.2">
      <c r="A69" s="271"/>
    </row>
    <row r="70" spans="1:1" ht="12" customHeight="1" x14ac:dyDescent="0.2">
      <c r="A70" s="271"/>
    </row>
    <row r="71" spans="1:1" ht="12" customHeight="1" x14ac:dyDescent="0.2">
      <c r="A71" s="271"/>
    </row>
    <row r="72" spans="1:1" ht="12" customHeight="1" x14ac:dyDescent="0.2">
      <c r="A72" s="271"/>
    </row>
    <row r="73" spans="1:1" ht="12" customHeight="1" x14ac:dyDescent="0.2">
      <c r="A73" s="271"/>
    </row>
    <row r="74" spans="1:1" ht="12" customHeight="1" x14ac:dyDescent="0.2">
      <c r="A74" s="271"/>
    </row>
    <row r="75" spans="1:1" ht="12" customHeight="1" x14ac:dyDescent="0.2">
      <c r="A75" s="271"/>
    </row>
    <row r="76" spans="1:1" ht="12" customHeight="1" x14ac:dyDescent="0.2">
      <c r="A76" s="271"/>
    </row>
    <row r="77" spans="1:1" ht="12" customHeight="1" x14ac:dyDescent="0.2">
      <c r="A77" s="271"/>
    </row>
    <row r="78" spans="1:1" ht="12" customHeight="1" x14ac:dyDescent="0.2">
      <c r="A78" s="271"/>
    </row>
    <row r="79" spans="1:1" ht="12" customHeight="1" x14ac:dyDescent="0.2">
      <c r="A79" s="271"/>
    </row>
    <row r="80" spans="1:1" ht="12" customHeight="1" x14ac:dyDescent="0.2">
      <c r="A80" s="271"/>
    </row>
    <row r="81" spans="1:1" ht="12" customHeight="1" x14ac:dyDescent="0.2">
      <c r="A81" s="271"/>
    </row>
    <row r="82" spans="1:1" ht="12" customHeight="1" x14ac:dyDescent="0.2">
      <c r="A82" s="271"/>
    </row>
    <row r="83" spans="1:1" ht="12" customHeight="1" x14ac:dyDescent="0.2">
      <c r="A83" s="271"/>
    </row>
    <row r="84" spans="1:1" ht="12" customHeight="1" x14ac:dyDescent="0.2">
      <c r="A84" s="271"/>
    </row>
    <row r="85" spans="1:1" ht="12" customHeight="1" x14ac:dyDescent="0.2">
      <c r="A85" s="271"/>
    </row>
    <row r="86" spans="1:1" ht="12" customHeight="1" x14ac:dyDescent="0.2">
      <c r="A86" s="271"/>
    </row>
    <row r="87" spans="1:1" ht="12" customHeight="1" x14ac:dyDescent="0.2">
      <c r="A87" s="271"/>
    </row>
    <row r="88" spans="1:1" ht="12" customHeight="1" x14ac:dyDescent="0.2">
      <c r="A88" s="271"/>
    </row>
    <row r="89" spans="1:1" ht="12" customHeight="1" x14ac:dyDescent="0.2">
      <c r="A89" s="271"/>
    </row>
    <row r="90" spans="1:1" ht="12" customHeight="1" x14ac:dyDescent="0.2">
      <c r="A90" s="271"/>
    </row>
    <row r="91" spans="1:1" ht="12" customHeight="1" x14ac:dyDescent="0.2">
      <c r="A91" s="271"/>
    </row>
    <row r="92" spans="1:1" ht="12" customHeight="1" x14ac:dyDescent="0.2">
      <c r="A92" s="271"/>
    </row>
    <row r="93" spans="1:1" ht="12" customHeight="1" x14ac:dyDescent="0.2">
      <c r="A93" s="271"/>
    </row>
    <row r="94" spans="1:1" ht="12" customHeight="1" x14ac:dyDescent="0.2">
      <c r="A94" s="271"/>
    </row>
    <row r="95" spans="1:1" ht="12" customHeight="1" x14ac:dyDescent="0.2">
      <c r="A95" s="271"/>
    </row>
    <row r="96" spans="1:1" ht="12" customHeight="1" x14ac:dyDescent="0.2">
      <c r="A96" s="271"/>
    </row>
    <row r="97" spans="1:1" ht="12" customHeight="1" x14ac:dyDescent="0.2">
      <c r="A97" s="271"/>
    </row>
    <row r="98" spans="1:1" ht="12" customHeight="1" x14ac:dyDescent="0.2">
      <c r="A98" s="271"/>
    </row>
    <row r="99" spans="1:1" ht="12" customHeight="1" x14ac:dyDescent="0.2">
      <c r="A99" s="271"/>
    </row>
    <row r="100" spans="1:1" ht="12" customHeight="1" x14ac:dyDescent="0.2">
      <c r="A100" s="271"/>
    </row>
    <row r="101" spans="1:1" ht="12" customHeight="1" x14ac:dyDescent="0.2">
      <c r="A101" s="271"/>
    </row>
    <row r="102" spans="1:1" ht="12" customHeight="1" x14ac:dyDescent="0.2">
      <c r="A102" s="271"/>
    </row>
    <row r="103" spans="1:1" ht="12" customHeight="1" x14ac:dyDescent="0.2">
      <c r="A103" s="271"/>
    </row>
    <row r="104" spans="1:1" ht="12" customHeight="1" x14ac:dyDescent="0.2">
      <c r="A104" s="271"/>
    </row>
    <row r="105" spans="1:1" ht="12" customHeight="1" x14ac:dyDescent="0.2">
      <c r="A105" s="271"/>
    </row>
    <row r="106" spans="1:1" ht="12" customHeight="1" x14ac:dyDescent="0.2">
      <c r="A106" s="271"/>
    </row>
    <row r="107" spans="1:1" ht="12" customHeight="1" x14ac:dyDescent="0.2">
      <c r="A107" s="271"/>
    </row>
    <row r="108" spans="1:1" ht="12" customHeight="1" x14ac:dyDescent="0.2">
      <c r="A108" s="271"/>
    </row>
    <row r="109" spans="1:1" ht="12" customHeight="1" x14ac:dyDescent="0.2">
      <c r="A109" s="271"/>
    </row>
    <row r="110" spans="1:1" ht="12" customHeight="1" x14ac:dyDescent="0.2">
      <c r="A110" s="271"/>
    </row>
    <row r="111" spans="1:1" ht="12" customHeight="1" x14ac:dyDescent="0.2">
      <c r="A111" s="271"/>
    </row>
    <row r="112" spans="1:1" ht="12" customHeight="1" x14ac:dyDescent="0.2">
      <c r="A112" s="271"/>
    </row>
    <row r="113" spans="1:1" ht="12" customHeight="1" x14ac:dyDescent="0.2">
      <c r="A113" s="271"/>
    </row>
    <row r="114" spans="1:1" ht="12" customHeight="1" x14ac:dyDescent="0.2">
      <c r="A114" s="271"/>
    </row>
    <row r="115" spans="1:1" ht="12" customHeight="1" x14ac:dyDescent="0.2">
      <c r="A115" s="271"/>
    </row>
    <row r="116" spans="1:1" ht="12" customHeight="1" x14ac:dyDescent="0.2">
      <c r="A116" s="271"/>
    </row>
    <row r="117" spans="1:1" ht="12" customHeight="1" x14ac:dyDescent="0.2">
      <c r="A117" s="271"/>
    </row>
    <row r="118" spans="1:1" ht="12" customHeight="1" x14ac:dyDescent="0.2">
      <c r="A118" s="271"/>
    </row>
    <row r="119" spans="1:1" ht="12" customHeight="1" x14ac:dyDescent="0.2">
      <c r="A119" s="271"/>
    </row>
    <row r="120" spans="1:1" ht="12" customHeight="1" x14ac:dyDescent="0.2">
      <c r="A120" s="271"/>
    </row>
    <row r="121" spans="1:1" ht="12" customHeight="1" x14ac:dyDescent="0.2">
      <c r="A121" s="271"/>
    </row>
    <row r="122" spans="1:1" ht="12" customHeight="1" x14ac:dyDescent="0.2">
      <c r="A122" s="271"/>
    </row>
    <row r="123" spans="1:1" ht="12" customHeight="1" x14ac:dyDescent="0.2">
      <c r="A123" s="271"/>
    </row>
    <row r="124" spans="1:1" ht="12" customHeight="1" x14ac:dyDescent="0.2">
      <c r="A124" s="271"/>
    </row>
    <row r="125" spans="1:1" ht="12" customHeight="1" x14ac:dyDescent="0.2">
      <c r="A125" s="271"/>
    </row>
    <row r="126" spans="1:1" ht="12" customHeight="1" x14ac:dyDescent="0.2">
      <c r="A126" s="271"/>
    </row>
    <row r="127" spans="1:1" ht="12" customHeight="1" x14ac:dyDescent="0.2">
      <c r="A127" s="271"/>
    </row>
    <row r="128" spans="1:1" ht="12" customHeight="1" x14ac:dyDescent="0.2">
      <c r="A128" s="271"/>
    </row>
    <row r="129" spans="1:1" ht="12" customHeight="1" x14ac:dyDescent="0.2">
      <c r="A129" s="271"/>
    </row>
    <row r="130" spans="1:1" ht="12" customHeight="1" x14ac:dyDescent="0.2">
      <c r="A130" s="271"/>
    </row>
    <row r="131" spans="1:1" ht="12" customHeight="1" x14ac:dyDescent="0.2">
      <c r="A131" s="271"/>
    </row>
    <row r="132" spans="1:1" ht="12" customHeight="1" x14ac:dyDescent="0.2">
      <c r="A132" s="271"/>
    </row>
    <row r="133" spans="1:1" ht="12" customHeight="1" x14ac:dyDescent="0.2">
      <c r="A133" s="271"/>
    </row>
    <row r="134" spans="1:1" ht="12" customHeight="1" x14ac:dyDescent="0.2">
      <c r="A134" s="271"/>
    </row>
    <row r="135" spans="1:1" ht="12" customHeight="1" x14ac:dyDescent="0.2">
      <c r="A135" s="271"/>
    </row>
    <row r="136" spans="1:1" ht="12" customHeight="1" x14ac:dyDescent="0.2">
      <c r="A136" s="271"/>
    </row>
    <row r="137" spans="1:1" ht="12" customHeight="1" x14ac:dyDescent="0.2">
      <c r="A137" s="271"/>
    </row>
    <row r="138" spans="1:1" ht="12" customHeight="1" x14ac:dyDescent="0.2">
      <c r="A138" s="271"/>
    </row>
    <row r="139" spans="1:1" ht="12" customHeight="1" x14ac:dyDescent="0.2">
      <c r="A139" s="271"/>
    </row>
    <row r="140" spans="1:1" ht="12" customHeight="1" x14ac:dyDescent="0.2">
      <c r="A140" s="271"/>
    </row>
    <row r="141" spans="1:1" ht="12" customHeight="1" x14ac:dyDescent="0.2">
      <c r="A141" s="271"/>
    </row>
    <row r="142" spans="1:1" ht="12" customHeight="1" x14ac:dyDescent="0.2">
      <c r="A142" s="271"/>
    </row>
    <row r="143" spans="1:1" ht="12" customHeight="1" x14ac:dyDescent="0.2">
      <c r="A143" s="271"/>
    </row>
    <row r="144" spans="1:1" ht="12" customHeight="1" x14ac:dyDescent="0.2">
      <c r="A144" s="271"/>
    </row>
    <row r="145" spans="1:1" ht="12" customHeight="1" x14ac:dyDescent="0.2">
      <c r="A145" s="271"/>
    </row>
    <row r="146" spans="1:1" ht="12" customHeight="1" x14ac:dyDescent="0.2">
      <c r="A146" s="271"/>
    </row>
    <row r="147" spans="1:1" ht="12" customHeight="1" x14ac:dyDescent="0.2">
      <c r="A147" s="271"/>
    </row>
    <row r="148" spans="1:1" ht="12" customHeight="1" x14ac:dyDescent="0.2">
      <c r="A148" s="271"/>
    </row>
    <row r="149" spans="1:1" ht="12" customHeight="1" x14ac:dyDescent="0.2">
      <c r="A149" s="271"/>
    </row>
    <row r="150" spans="1:1" ht="12" customHeight="1" x14ac:dyDescent="0.2">
      <c r="A150" s="271"/>
    </row>
    <row r="151" spans="1:1" ht="12" customHeight="1" x14ac:dyDescent="0.2">
      <c r="A151" s="271"/>
    </row>
    <row r="152" spans="1:1" ht="12" customHeight="1" x14ac:dyDescent="0.2">
      <c r="A152" s="271"/>
    </row>
    <row r="153" spans="1:1" ht="12" customHeight="1" x14ac:dyDescent="0.2">
      <c r="A153" s="271"/>
    </row>
    <row r="154" spans="1:1" ht="12" customHeight="1" x14ac:dyDescent="0.2">
      <c r="A154" s="271"/>
    </row>
    <row r="155" spans="1:1" ht="12" customHeight="1" x14ac:dyDescent="0.2">
      <c r="A155" s="271"/>
    </row>
    <row r="156" spans="1:1" ht="12" customHeight="1" x14ac:dyDescent="0.2">
      <c r="A156" s="271"/>
    </row>
    <row r="157" spans="1:1" ht="12" customHeight="1" x14ac:dyDescent="0.2">
      <c r="A157" s="271"/>
    </row>
    <row r="158" spans="1:1" ht="12" customHeight="1" x14ac:dyDescent="0.2">
      <c r="A158" s="271"/>
    </row>
    <row r="159" spans="1:1" ht="12" customHeight="1" x14ac:dyDescent="0.2">
      <c r="A159" s="271"/>
    </row>
    <row r="160" spans="1:1" ht="12" customHeight="1" x14ac:dyDescent="0.2">
      <c r="A160" s="271"/>
    </row>
    <row r="161" spans="1:1" ht="12" customHeight="1" x14ac:dyDescent="0.2">
      <c r="A161" s="271"/>
    </row>
    <row r="162" spans="1:1" ht="12" customHeight="1" x14ac:dyDescent="0.2">
      <c r="A162" s="271"/>
    </row>
    <row r="163" spans="1:1" ht="12" customHeight="1" x14ac:dyDescent="0.2">
      <c r="A163" s="271"/>
    </row>
    <row r="164" spans="1:1" ht="12" customHeight="1" x14ac:dyDescent="0.2">
      <c r="A164" s="271"/>
    </row>
    <row r="165" spans="1:1" ht="12" customHeight="1" x14ac:dyDescent="0.2">
      <c r="A165" s="271"/>
    </row>
    <row r="166" spans="1:1" ht="12" customHeight="1" x14ac:dyDescent="0.2">
      <c r="A166" s="271"/>
    </row>
    <row r="167" spans="1:1" ht="12" customHeight="1" x14ac:dyDescent="0.2">
      <c r="A167" s="271"/>
    </row>
    <row r="168" spans="1:1" ht="12" customHeight="1" x14ac:dyDescent="0.2">
      <c r="A168" s="271"/>
    </row>
    <row r="169" spans="1:1" ht="12" customHeight="1" x14ac:dyDescent="0.2">
      <c r="A169" s="271"/>
    </row>
    <row r="170" spans="1:1" ht="12" customHeight="1" x14ac:dyDescent="0.2">
      <c r="A170" s="271"/>
    </row>
    <row r="171" spans="1:1" ht="12" customHeight="1" x14ac:dyDescent="0.2">
      <c r="A171" s="271"/>
    </row>
    <row r="172" spans="1:1" ht="12" customHeight="1" x14ac:dyDescent="0.2">
      <c r="A172" s="271"/>
    </row>
    <row r="173" spans="1:1" ht="12" customHeight="1" x14ac:dyDescent="0.2">
      <c r="A173" s="271"/>
    </row>
    <row r="174" spans="1:1" ht="12" customHeight="1" x14ac:dyDescent="0.2">
      <c r="A174" s="271"/>
    </row>
    <row r="175" spans="1:1" ht="12" customHeight="1" x14ac:dyDescent="0.2">
      <c r="A175" s="271"/>
    </row>
    <row r="176" spans="1:1" ht="12" customHeight="1" x14ac:dyDescent="0.2">
      <c r="A176" s="271"/>
    </row>
    <row r="177" spans="1:1" ht="12" customHeight="1" x14ac:dyDescent="0.2">
      <c r="A177" s="271"/>
    </row>
    <row r="178" spans="1:1" ht="12" customHeight="1" x14ac:dyDescent="0.2">
      <c r="A178" s="271"/>
    </row>
    <row r="179" spans="1:1" ht="12" customHeight="1" x14ac:dyDescent="0.2">
      <c r="A179" s="271"/>
    </row>
    <row r="180" spans="1:1" ht="12" customHeight="1" x14ac:dyDescent="0.2">
      <c r="A180" s="271"/>
    </row>
    <row r="181" spans="1:1" ht="12" customHeight="1" x14ac:dyDescent="0.2">
      <c r="A181" s="271"/>
    </row>
    <row r="182" spans="1:1" ht="12" customHeight="1" x14ac:dyDescent="0.2">
      <c r="A182" s="271"/>
    </row>
    <row r="183" spans="1:1" ht="12" customHeight="1" x14ac:dyDescent="0.2">
      <c r="A183" s="271"/>
    </row>
    <row r="184" spans="1:1" ht="12" customHeight="1" x14ac:dyDescent="0.2">
      <c r="A184" s="271"/>
    </row>
    <row r="185" spans="1:1" ht="12" customHeight="1" x14ac:dyDescent="0.2">
      <c r="A185" s="271"/>
    </row>
    <row r="186" spans="1:1" ht="12" customHeight="1" x14ac:dyDescent="0.2">
      <c r="A186" s="271"/>
    </row>
    <row r="187" spans="1:1" ht="12" customHeight="1" x14ac:dyDescent="0.2">
      <c r="A187" s="271"/>
    </row>
    <row r="188" spans="1:1" ht="12" customHeight="1" x14ac:dyDescent="0.2">
      <c r="A188" s="271"/>
    </row>
    <row r="189" spans="1:1" ht="12" customHeight="1" x14ac:dyDescent="0.2">
      <c r="A189" s="271"/>
    </row>
    <row r="190" spans="1:1" ht="12" customHeight="1" x14ac:dyDescent="0.2">
      <c r="A190" s="271"/>
    </row>
    <row r="191" spans="1:1" ht="12" customHeight="1" x14ac:dyDescent="0.2">
      <c r="A191" s="271"/>
    </row>
    <row r="192" spans="1:1" ht="12" customHeight="1" x14ac:dyDescent="0.2">
      <c r="A192" s="271"/>
    </row>
    <row r="193" spans="1:1" ht="12" customHeight="1" x14ac:dyDescent="0.2">
      <c r="A193" s="271"/>
    </row>
    <row r="194" spans="1:1" ht="12" customHeight="1" x14ac:dyDescent="0.2">
      <c r="A194" s="271"/>
    </row>
    <row r="195" spans="1:1" ht="12" customHeight="1" x14ac:dyDescent="0.2">
      <c r="A195" s="271"/>
    </row>
    <row r="196" spans="1:1" ht="12" customHeight="1" x14ac:dyDescent="0.2">
      <c r="A196" s="271"/>
    </row>
    <row r="197" spans="1:1" ht="12" customHeight="1" x14ac:dyDescent="0.2">
      <c r="A197" s="271"/>
    </row>
    <row r="198" spans="1:1" ht="12" customHeight="1" x14ac:dyDescent="0.2">
      <c r="A198" s="271"/>
    </row>
    <row r="199" spans="1:1" ht="12" customHeight="1" x14ac:dyDescent="0.2">
      <c r="A199" s="271"/>
    </row>
    <row r="200" spans="1:1" ht="12" customHeight="1" x14ac:dyDescent="0.2">
      <c r="A200" s="271"/>
    </row>
    <row r="201" spans="1:1" ht="12" customHeight="1" x14ac:dyDescent="0.2">
      <c r="A201" s="271"/>
    </row>
    <row r="202" spans="1:1" ht="12" customHeight="1" x14ac:dyDescent="0.2">
      <c r="A202" s="271"/>
    </row>
    <row r="203" spans="1:1" ht="12" customHeight="1" x14ac:dyDescent="0.2">
      <c r="A203" s="271"/>
    </row>
    <row r="204" spans="1:1" ht="12" customHeight="1" x14ac:dyDescent="0.2">
      <c r="A204" s="271"/>
    </row>
    <row r="205" spans="1:1" ht="12" customHeight="1" x14ac:dyDescent="0.2">
      <c r="A205" s="271"/>
    </row>
    <row r="206" spans="1:1" ht="12" customHeight="1" x14ac:dyDescent="0.2">
      <c r="A206" s="271"/>
    </row>
    <row r="207" spans="1:1" ht="12" customHeight="1" x14ac:dyDescent="0.2">
      <c r="A207" s="271"/>
    </row>
    <row r="208" spans="1:1" ht="12" customHeight="1" x14ac:dyDescent="0.2">
      <c r="A208" s="271"/>
    </row>
    <row r="209" spans="1:1" ht="12" customHeight="1" x14ac:dyDescent="0.2">
      <c r="A209" s="271"/>
    </row>
    <row r="210" spans="1:1" ht="12" customHeight="1" x14ac:dyDescent="0.2">
      <c r="A210" s="271"/>
    </row>
    <row r="211" spans="1:1" ht="12" customHeight="1" x14ac:dyDescent="0.2">
      <c r="A211" s="271"/>
    </row>
    <row r="212" spans="1:1" ht="12" customHeight="1" x14ac:dyDescent="0.2">
      <c r="A212" s="271"/>
    </row>
    <row r="213" spans="1:1" ht="12" customHeight="1" x14ac:dyDescent="0.2">
      <c r="A213" s="271"/>
    </row>
    <row r="214" spans="1:1" ht="12" customHeight="1" x14ac:dyDescent="0.2">
      <c r="A214" s="271"/>
    </row>
    <row r="215" spans="1:1" ht="12" customHeight="1" x14ac:dyDescent="0.2">
      <c r="A215" s="271"/>
    </row>
    <row r="216" spans="1:1" ht="12" customHeight="1" x14ac:dyDescent="0.2">
      <c r="A216" s="271"/>
    </row>
    <row r="217" spans="1:1" ht="12" customHeight="1" x14ac:dyDescent="0.2">
      <c r="A217" s="271"/>
    </row>
    <row r="218" spans="1:1" ht="12" customHeight="1" x14ac:dyDescent="0.2">
      <c r="A218" s="271"/>
    </row>
    <row r="219" spans="1:1" ht="12" customHeight="1" x14ac:dyDescent="0.2">
      <c r="A219" s="271"/>
    </row>
    <row r="220" spans="1:1" ht="12" customHeight="1" x14ac:dyDescent="0.2">
      <c r="A220" s="271"/>
    </row>
    <row r="221" spans="1:1" ht="12" customHeight="1" x14ac:dyDescent="0.2">
      <c r="A221" s="271"/>
    </row>
    <row r="222" spans="1:1" ht="12" customHeight="1" x14ac:dyDescent="0.2">
      <c r="A222" s="271"/>
    </row>
    <row r="223" spans="1:1" ht="12" customHeight="1" x14ac:dyDescent="0.2">
      <c r="A223" s="271"/>
    </row>
    <row r="224" spans="1:1" ht="12" customHeight="1" x14ac:dyDescent="0.2">
      <c r="A224" s="271"/>
    </row>
    <row r="225" spans="1:1" ht="12" customHeight="1" x14ac:dyDescent="0.2">
      <c r="A225" s="271"/>
    </row>
    <row r="226" spans="1:1" ht="12" customHeight="1" x14ac:dyDescent="0.2">
      <c r="A226" s="271"/>
    </row>
    <row r="227" spans="1:1" ht="12" customHeight="1" x14ac:dyDescent="0.2">
      <c r="A227" s="271"/>
    </row>
    <row r="228" spans="1:1" ht="12" customHeight="1" x14ac:dyDescent="0.2">
      <c r="A228" s="271"/>
    </row>
    <row r="229" spans="1:1" ht="12" customHeight="1" x14ac:dyDescent="0.2">
      <c r="A229" s="271"/>
    </row>
    <row r="230" spans="1:1" ht="12" customHeight="1" x14ac:dyDescent="0.2">
      <c r="A230" s="271"/>
    </row>
    <row r="231" spans="1:1" ht="12" customHeight="1" x14ac:dyDescent="0.2">
      <c r="A231" s="271"/>
    </row>
    <row r="232" spans="1:1" ht="12" customHeight="1" x14ac:dyDescent="0.2">
      <c r="A232" s="271"/>
    </row>
    <row r="233" spans="1:1" ht="12" customHeight="1" x14ac:dyDescent="0.2">
      <c r="A233" s="271"/>
    </row>
    <row r="234" spans="1:1" ht="12" customHeight="1" x14ac:dyDescent="0.2">
      <c r="A234" s="271"/>
    </row>
    <row r="235" spans="1:1" ht="12" customHeight="1" x14ac:dyDescent="0.2">
      <c r="A235" s="271"/>
    </row>
    <row r="236" spans="1:1" ht="12" customHeight="1" x14ac:dyDescent="0.2">
      <c r="A236" s="271"/>
    </row>
    <row r="237" spans="1:1" ht="12" customHeight="1" x14ac:dyDescent="0.2">
      <c r="A237" s="271"/>
    </row>
    <row r="238" spans="1:1" ht="12" customHeight="1" x14ac:dyDescent="0.2">
      <c r="A238" s="271"/>
    </row>
    <row r="239" spans="1:1" ht="12" customHeight="1" x14ac:dyDescent="0.2">
      <c r="A239" s="271"/>
    </row>
    <row r="240" spans="1:1" ht="12" customHeight="1" x14ac:dyDescent="0.2">
      <c r="A240" s="271"/>
    </row>
    <row r="241" spans="1:1" ht="12" customHeight="1" x14ac:dyDescent="0.2">
      <c r="A241" s="271"/>
    </row>
    <row r="242" spans="1:1" ht="12" customHeight="1" x14ac:dyDescent="0.2">
      <c r="A242" s="271"/>
    </row>
    <row r="243" spans="1:1" ht="12" customHeight="1" x14ac:dyDescent="0.2">
      <c r="A243" s="271"/>
    </row>
    <row r="244" spans="1:1" ht="12" customHeight="1" x14ac:dyDescent="0.2">
      <c r="A244" s="271"/>
    </row>
    <row r="245" spans="1:1" ht="12" customHeight="1" x14ac:dyDescent="0.2">
      <c r="A245" s="271"/>
    </row>
    <row r="246" spans="1:1" ht="12" customHeight="1" x14ac:dyDescent="0.2">
      <c r="A246" s="271"/>
    </row>
    <row r="247" spans="1:1" ht="12" customHeight="1" x14ac:dyDescent="0.2">
      <c r="A247" s="271"/>
    </row>
    <row r="248" spans="1:1" ht="12" customHeight="1" x14ac:dyDescent="0.2">
      <c r="A248" s="271"/>
    </row>
    <row r="249" spans="1:1" ht="12" customHeight="1" x14ac:dyDescent="0.2">
      <c r="A249" s="271"/>
    </row>
    <row r="250" spans="1:1" ht="12" customHeight="1" x14ac:dyDescent="0.2">
      <c r="A250" s="271"/>
    </row>
    <row r="251" spans="1:1" ht="12" customHeight="1" x14ac:dyDescent="0.2">
      <c r="A251" s="271"/>
    </row>
    <row r="252" spans="1:1" ht="12" customHeight="1" x14ac:dyDescent="0.2">
      <c r="A252" s="271"/>
    </row>
    <row r="253" spans="1:1" ht="12" customHeight="1" x14ac:dyDescent="0.2">
      <c r="A253" s="271"/>
    </row>
    <row r="254" spans="1:1" ht="12" customHeight="1" x14ac:dyDescent="0.2">
      <c r="A254" s="271"/>
    </row>
    <row r="255" spans="1:1" ht="12" customHeight="1" x14ac:dyDescent="0.2">
      <c r="A255" s="271"/>
    </row>
    <row r="256" spans="1:1" ht="12" customHeight="1" x14ac:dyDescent="0.2">
      <c r="A256" s="271"/>
    </row>
    <row r="257" spans="1:1" ht="12" customHeight="1" x14ac:dyDescent="0.2">
      <c r="A257" s="271"/>
    </row>
    <row r="258" spans="1:1" ht="12" customHeight="1" x14ac:dyDescent="0.2">
      <c r="A258" s="271"/>
    </row>
    <row r="259" spans="1:1" ht="12" customHeight="1" x14ac:dyDescent="0.2">
      <c r="A259" s="271"/>
    </row>
    <row r="260" spans="1:1" ht="12" customHeight="1" x14ac:dyDescent="0.2">
      <c r="A260" s="271"/>
    </row>
    <row r="261" spans="1:1" ht="12" customHeight="1" x14ac:dyDescent="0.2">
      <c r="A261" s="271"/>
    </row>
    <row r="262" spans="1:1" ht="12" customHeight="1" x14ac:dyDescent="0.2">
      <c r="A262" s="271"/>
    </row>
    <row r="263" spans="1:1" ht="12" customHeight="1" x14ac:dyDescent="0.2">
      <c r="A263" s="271"/>
    </row>
    <row r="264" spans="1:1" ht="12" customHeight="1" x14ac:dyDescent="0.2">
      <c r="A264" s="271"/>
    </row>
    <row r="265" spans="1:1" ht="12" customHeight="1" x14ac:dyDescent="0.2">
      <c r="A265" s="271"/>
    </row>
    <row r="266" spans="1:1" ht="12" customHeight="1" x14ac:dyDescent="0.2">
      <c r="A266" s="271"/>
    </row>
    <row r="267" spans="1:1" ht="12" customHeight="1" x14ac:dyDescent="0.2">
      <c r="A267" s="271"/>
    </row>
    <row r="268" spans="1:1" ht="12" customHeight="1" x14ac:dyDescent="0.2">
      <c r="A268" s="271"/>
    </row>
    <row r="269" spans="1:1" ht="12" customHeight="1" x14ac:dyDescent="0.2">
      <c r="A269" s="271"/>
    </row>
    <row r="270" spans="1:1" ht="12" customHeight="1" x14ac:dyDescent="0.2">
      <c r="A270" s="271"/>
    </row>
    <row r="271" spans="1:1" ht="12" customHeight="1" x14ac:dyDescent="0.2">
      <c r="A271" s="271"/>
    </row>
    <row r="272" spans="1:1" ht="12" customHeight="1" x14ac:dyDescent="0.2">
      <c r="A272" s="271"/>
    </row>
    <row r="273" spans="1:1" ht="12" customHeight="1" x14ac:dyDescent="0.2">
      <c r="A273" s="271"/>
    </row>
    <row r="274" spans="1:1" ht="12" customHeight="1" x14ac:dyDescent="0.2">
      <c r="A274" s="271"/>
    </row>
    <row r="275" spans="1:1" ht="12" customHeight="1" x14ac:dyDescent="0.2">
      <c r="A275" s="271"/>
    </row>
    <row r="276" spans="1:1" ht="12" customHeight="1" x14ac:dyDescent="0.2">
      <c r="A276" s="271"/>
    </row>
    <row r="277" spans="1:1" ht="12" customHeight="1" x14ac:dyDescent="0.2">
      <c r="A277" s="271"/>
    </row>
    <row r="278" spans="1:1" ht="12" customHeight="1" x14ac:dyDescent="0.2">
      <c r="A278" s="271"/>
    </row>
    <row r="279" spans="1:1" ht="12" customHeight="1" x14ac:dyDescent="0.2">
      <c r="A279" s="271"/>
    </row>
    <row r="280" spans="1:1" ht="12" customHeight="1" x14ac:dyDescent="0.2">
      <c r="A280" s="271"/>
    </row>
    <row r="281" spans="1:1" ht="12" customHeight="1" x14ac:dyDescent="0.2">
      <c r="A281" s="271"/>
    </row>
    <row r="282" spans="1:1" ht="12" customHeight="1" x14ac:dyDescent="0.2">
      <c r="A282" s="271"/>
    </row>
    <row r="283" spans="1:1" ht="12" customHeight="1" x14ac:dyDescent="0.2">
      <c r="A283" s="271"/>
    </row>
    <row r="284" spans="1:1" ht="12" customHeight="1" x14ac:dyDescent="0.2">
      <c r="A284" s="271"/>
    </row>
    <row r="285" spans="1:1" ht="12" customHeight="1" x14ac:dyDescent="0.2">
      <c r="A285" s="271"/>
    </row>
    <row r="286" spans="1:1" ht="12" customHeight="1" x14ac:dyDescent="0.2">
      <c r="A286" s="271"/>
    </row>
    <row r="287" spans="1:1" ht="12" customHeight="1" x14ac:dyDescent="0.2">
      <c r="A287" s="271"/>
    </row>
    <row r="288" spans="1:1" ht="12" customHeight="1" x14ac:dyDescent="0.2">
      <c r="A288" s="271"/>
    </row>
    <row r="289" spans="1:1" ht="12" customHeight="1" x14ac:dyDescent="0.2">
      <c r="A289" s="271"/>
    </row>
    <row r="290" spans="1:1" ht="12" customHeight="1" x14ac:dyDescent="0.2">
      <c r="A290" s="271"/>
    </row>
    <row r="291" spans="1:1" ht="12" customHeight="1" x14ac:dyDescent="0.2">
      <c r="A291" s="271"/>
    </row>
    <row r="292" spans="1:1" ht="12" customHeight="1" x14ac:dyDescent="0.2">
      <c r="A292" s="271"/>
    </row>
    <row r="293" spans="1:1" ht="12" customHeight="1" x14ac:dyDescent="0.2">
      <c r="A293" s="271"/>
    </row>
    <row r="294" spans="1:1" ht="12" customHeight="1" x14ac:dyDescent="0.2">
      <c r="A294" s="271"/>
    </row>
    <row r="295" spans="1:1" ht="12" customHeight="1" x14ac:dyDescent="0.2">
      <c r="A295" s="271"/>
    </row>
    <row r="296" spans="1:1" ht="12" customHeight="1" x14ac:dyDescent="0.2">
      <c r="A296" s="271"/>
    </row>
    <row r="297" spans="1:1" ht="12" customHeight="1" x14ac:dyDescent="0.2">
      <c r="A297" s="271"/>
    </row>
    <row r="298" spans="1:1" ht="12" customHeight="1" x14ac:dyDescent="0.2">
      <c r="A298" s="271"/>
    </row>
    <row r="299" spans="1:1" ht="12" customHeight="1" x14ac:dyDescent="0.2">
      <c r="A299" s="271"/>
    </row>
    <row r="300" spans="1:1" ht="12" customHeight="1" x14ac:dyDescent="0.2">
      <c r="A300" s="271"/>
    </row>
    <row r="301" spans="1:1" ht="12" customHeight="1" x14ac:dyDescent="0.2">
      <c r="A301" s="271"/>
    </row>
    <row r="302" spans="1:1" ht="12" customHeight="1" x14ac:dyDescent="0.2">
      <c r="A302" s="271"/>
    </row>
    <row r="303" spans="1:1" ht="12" customHeight="1" x14ac:dyDescent="0.2">
      <c r="A303" s="271"/>
    </row>
    <row r="304" spans="1:1" ht="12" customHeight="1" x14ac:dyDescent="0.2">
      <c r="A304" s="271"/>
    </row>
    <row r="305" spans="1:1" ht="12" customHeight="1" x14ac:dyDescent="0.2">
      <c r="A305" s="271"/>
    </row>
    <row r="306" spans="1:1" ht="12" customHeight="1" x14ac:dyDescent="0.2">
      <c r="A306" s="271"/>
    </row>
    <row r="307" spans="1:1" ht="12" customHeight="1" x14ac:dyDescent="0.2">
      <c r="A307" s="271"/>
    </row>
    <row r="308" spans="1:1" ht="12" customHeight="1" x14ac:dyDescent="0.2">
      <c r="A308" s="271"/>
    </row>
    <row r="309" spans="1:1" ht="12" customHeight="1" x14ac:dyDescent="0.2">
      <c r="A309" s="271"/>
    </row>
    <row r="310" spans="1:1" ht="12" customHeight="1" x14ac:dyDescent="0.2">
      <c r="A310" s="271"/>
    </row>
    <row r="311" spans="1:1" ht="12" customHeight="1" x14ac:dyDescent="0.2">
      <c r="A311" s="271"/>
    </row>
    <row r="312" spans="1:1" ht="12" customHeight="1" x14ac:dyDescent="0.2">
      <c r="A312" s="271"/>
    </row>
    <row r="313" spans="1:1" ht="12" customHeight="1" x14ac:dyDescent="0.2">
      <c r="A313" s="271"/>
    </row>
    <row r="314" spans="1:1" ht="12" customHeight="1" x14ac:dyDescent="0.2">
      <c r="A314" s="271"/>
    </row>
    <row r="315" spans="1:1" ht="12" customHeight="1" x14ac:dyDescent="0.2">
      <c r="A315" s="271"/>
    </row>
    <row r="316" spans="1:1" ht="12" customHeight="1" x14ac:dyDescent="0.2">
      <c r="A316" s="271"/>
    </row>
    <row r="317" spans="1:1" ht="12" customHeight="1" x14ac:dyDescent="0.2">
      <c r="A317" s="271"/>
    </row>
    <row r="318" spans="1:1" ht="12" customHeight="1" x14ac:dyDescent="0.2">
      <c r="A318" s="271"/>
    </row>
    <row r="319" spans="1:1" ht="12" customHeight="1" x14ac:dyDescent="0.2">
      <c r="A319" s="271"/>
    </row>
    <row r="320" spans="1:1" ht="12" customHeight="1" x14ac:dyDescent="0.2">
      <c r="A320" s="271"/>
    </row>
    <row r="321" spans="1:1" ht="12" customHeight="1" x14ac:dyDescent="0.2">
      <c r="A321" s="271"/>
    </row>
    <row r="322" spans="1:1" ht="12" customHeight="1" x14ac:dyDescent="0.2">
      <c r="A322" s="271"/>
    </row>
    <row r="323" spans="1:1" ht="12" customHeight="1" x14ac:dyDescent="0.2">
      <c r="A323" s="271"/>
    </row>
    <row r="324" spans="1:1" ht="12" customHeight="1" x14ac:dyDescent="0.2">
      <c r="A324" s="271"/>
    </row>
    <row r="325" spans="1:1" ht="12" customHeight="1" x14ac:dyDescent="0.2">
      <c r="A325" s="271"/>
    </row>
    <row r="326" spans="1:1" ht="12" customHeight="1" x14ac:dyDescent="0.2">
      <c r="A326" s="271"/>
    </row>
    <row r="327" spans="1:1" ht="12" customHeight="1" x14ac:dyDescent="0.2">
      <c r="A327" s="271"/>
    </row>
    <row r="328" spans="1:1" ht="12" customHeight="1" x14ac:dyDescent="0.2">
      <c r="A328" s="271"/>
    </row>
    <row r="329" spans="1:1" ht="12" customHeight="1" x14ac:dyDescent="0.2">
      <c r="A329" s="271"/>
    </row>
    <row r="330" spans="1:1" ht="12" customHeight="1" x14ac:dyDescent="0.2">
      <c r="A330" s="271"/>
    </row>
    <row r="331" spans="1:1" ht="12" customHeight="1" x14ac:dyDescent="0.2">
      <c r="A331" s="271"/>
    </row>
    <row r="332" spans="1:1" ht="12" customHeight="1" x14ac:dyDescent="0.2">
      <c r="A332" s="271"/>
    </row>
    <row r="333" spans="1:1" ht="12" customHeight="1" x14ac:dyDescent="0.2">
      <c r="A333" s="271"/>
    </row>
    <row r="334" spans="1:1" ht="12" customHeight="1" x14ac:dyDescent="0.2">
      <c r="A334" s="271"/>
    </row>
    <row r="335" spans="1:1" ht="12" customHeight="1" x14ac:dyDescent="0.2">
      <c r="A335" s="271"/>
    </row>
    <row r="336" spans="1:1" ht="12" customHeight="1" x14ac:dyDescent="0.2">
      <c r="A336" s="271"/>
    </row>
    <row r="337" spans="1:1" ht="12" customHeight="1" x14ac:dyDescent="0.2">
      <c r="A337" s="271"/>
    </row>
    <row r="338" spans="1:1" ht="12" customHeight="1" x14ac:dyDescent="0.2">
      <c r="A338" s="271"/>
    </row>
    <row r="339" spans="1:1" ht="12" customHeight="1" x14ac:dyDescent="0.2">
      <c r="A339" s="271"/>
    </row>
    <row r="340" spans="1:1" ht="12" customHeight="1" x14ac:dyDescent="0.2">
      <c r="A340" s="271"/>
    </row>
    <row r="341" spans="1:1" ht="12" customHeight="1" x14ac:dyDescent="0.2">
      <c r="A341" s="271"/>
    </row>
    <row r="342" spans="1:1" ht="12" customHeight="1" x14ac:dyDescent="0.2">
      <c r="A342" s="271"/>
    </row>
    <row r="343" spans="1:1" ht="12" customHeight="1" x14ac:dyDescent="0.2">
      <c r="A343" s="271"/>
    </row>
    <row r="344" spans="1:1" ht="12" customHeight="1" x14ac:dyDescent="0.2">
      <c r="A344" s="271"/>
    </row>
    <row r="345" spans="1:1" ht="12" customHeight="1" x14ac:dyDescent="0.2">
      <c r="A345" s="271"/>
    </row>
    <row r="346" spans="1:1" ht="12" customHeight="1" x14ac:dyDescent="0.2">
      <c r="A346" s="271"/>
    </row>
    <row r="347" spans="1:1" ht="12" customHeight="1" x14ac:dyDescent="0.2">
      <c r="A347" s="271"/>
    </row>
    <row r="348" spans="1:1" ht="12" customHeight="1" x14ac:dyDescent="0.2">
      <c r="A348" s="271"/>
    </row>
    <row r="349" spans="1:1" ht="12" customHeight="1" x14ac:dyDescent="0.2">
      <c r="A349" s="271"/>
    </row>
    <row r="350" spans="1:1" ht="12" customHeight="1" x14ac:dyDescent="0.2">
      <c r="A350" s="271"/>
    </row>
    <row r="351" spans="1:1" ht="12" customHeight="1" x14ac:dyDescent="0.2">
      <c r="A351" s="271"/>
    </row>
    <row r="352" spans="1:1" ht="12" customHeight="1" x14ac:dyDescent="0.2">
      <c r="A352" s="271"/>
    </row>
    <row r="353" spans="1:1" ht="12" customHeight="1" x14ac:dyDescent="0.2">
      <c r="A353" s="271"/>
    </row>
    <row r="354" spans="1:1" ht="12" customHeight="1" x14ac:dyDescent="0.2">
      <c r="A354" s="271"/>
    </row>
    <row r="355" spans="1:1" ht="12" customHeight="1" x14ac:dyDescent="0.2">
      <c r="A355" s="271"/>
    </row>
    <row r="356" spans="1:1" ht="12" customHeight="1" x14ac:dyDescent="0.2">
      <c r="A356" s="271"/>
    </row>
    <row r="357" spans="1:1" ht="12" customHeight="1" x14ac:dyDescent="0.2">
      <c r="A357" s="271"/>
    </row>
    <row r="358" spans="1:1" ht="12" customHeight="1" x14ac:dyDescent="0.2">
      <c r="A358" s="271"/>
    </row>
    <row r="359" spans="1:1" ht="12" customHeight="1" x14ac:dyDescent="0.2">
      <c r="A359" s="271"/>
    </row>
    <row r="360" spans="1:1" ht="12" customHeight="1" x14ac:dyDescent="0.2">
      <c r="A360" s="271"/>
    </row>
    <row r="361" spans="1:1" ht="12" customHeight="1" x14ac:dyDescent="0.2">
      <c r="A361" s="271"/>
    </row>
    <row r="362" spans="1:1" ht="12" customHeight="1" x14ac:dyDescent="0.2">
      <c r="A362" s="271"/>
    </row>
    <row r="363" spans="1:1" ht="12" customHeight="1" x14ac:dyDescent="0.2">
      <c r="A363" s="271"/>
    </row>
    <row r="364" spans="1:1" ht="12" customHeight="1" x14ac:dyDescent="0.2">
      <c r="A364" s="271"/>
    </row>
    <row r="365" spans="1:1" ht="12" customHeight="1" x14ac:dyDescent="0.2">
      <c r="A365" s="271"/>
    </row>
    <row r="366" spans="1:1" ht="12" customHeight="1" x14ac:dyDescent="0.2">
      <c r="A366" s="271"/>
    </row>
    <row r="367" spans="1:1" ht="12" customHeight="1" x14ac:dyDescent="0.2">
      <c r="A367" s="271"/>
    </row>
    <row r="368" spans="1:1" ht="12" customHeight="1" x14ac:dyDescent="0.2">
      <c r="A368" s="271"/>
    </row>
    <row r="369" spans="1:1" ht="12" customHeight="1" x14ac:dyDescent="0.2">
      <c r="A369" s="271"/>
    </row>
    <row r="370" spans="1:1" ht="12" customHeight="1" x14ac:dyDescent="0.2">
      <c r="A370" s="271"/>
    </row>
    <row r="371" spans="1:1" ht="12" customHeight="1" x14ac:dyDescent="0.2">
      <c r="A371" s="271"/>
    </row>
    <row r="372" spans="1:1" ht="12" customHeight="1" x14ac:dyDescent="0.2">
      <c r="A372" s="271"/>
    </row>
    <row r="373" spans="1:1" ht="12" customHeight="1" x14ac:dyDescent="0.2">
      <c r="A373" s="271"/>
    </row>
    <row r="374" spans="1:1" ht="12" customHeight="1" x14ac:dyDescent="0.2">
      <c r="A374" s="271"/>
    </row>
    <row r="375" spans="1:1" ht="12" customHeight="1" x14ac:dyDescent="0.2">
      <c r="A375" s="271"/>
    </row>
    <row r="376" spans="1:1" ht="12" customHeight="1" x14ac:dyDescent="0.2">
      <c r="A376" s="271"/>
    </row>
    <row r="377" spans="1:1" ht="12" customHeight="1" x14ac:dyDescent="0.2">
      <c r="A377" s="271"/>
    </row>
    <row r="378" spans="1:1" ht="12" customHeight="1" x14ac:dyDescent="0.2">
      <c r="A378" s="271"/>
    </row>
    <row r="379" spans="1:1" ht="12" customHeight="1" x14ac:dyDescent="0.2">
      <c r="A379" s="271"/>
    </row>
    <row r="380" spans="1:1" ht="12" customHeight="1" x14ac:dyDescent="0.2">
      <c r="A380" s="271"/>
    </row>
    <row r="381" spans="1:1" ht="12" customHeight="1" x14ac:dyDescent="0.2">
      <c r="A381" s="271"/>
    </row>
    <row r="382" spans="1:1" ht="12" customHeight="1" x14ac:dyDescent="0.2">
      <c r="A382" s="271"/>
    </row>
    <row r="383" spans="1:1" ht="12" customHeight="1" x14ac:dyDescent="0.2">
      <c r="A383" s="271"/>
    </row>
    <row r="384" spans="1:1" ht="12" customHeight="1" x14ac:dyDescent="0.2">
      <c r="A384" s="271"/>
    </row>
    <row r="385" spans="1:1" ht="12" customHeight="1" x14ac:dyDescent="0.2">
      <c r="A385" s="271"/>
    </row>
    <row r="386" spans="1:1" ht="12" customHeight="1" x14ac:dyDescent="0.2">
      <c r="A386" s="271"/>
    </row>
    <row r="387" spans="1:1" ht="12" customHeight="1" x14ac:dyDescent="0.2">
      <c r="A387" s="271"/>
    </row>
    <row r="388" spans="1:1" ht="12" customHeight="1" x14ac:dyDescent="0.2">
      <c r="A388" s="271"/>
    </row>
    <row r="389" spans="1:1" ht="12" customHeight="1" x14ac:dyDescent="0.2">
      <c r="A389" s="271"/>
    </row>
    <row r="390" spans="1:1" ht="12" customHeight="1" x14ac:dyDescent="0.2">
      <c r="A390" s="271"/>
    </row>
    <row r="391" spans="1:1" ht="12" customHeight="1" x14ac:dyDescent="0.2">
      <c r="A391" s="271"/>
    </row>
    <row r="392" spans="1:1" ht="12" customHeight="1" x14ac:dyDescent="0.2">
      <c r="A392" s="271"/>
    </row>
    <row r="393" spans="1:1" ht="12" customHeight="1" x14ac:dyDescent="0.2">
      <c r="A393" s="271"/>
    </row>
    <row r="394" spans="1:1" ht="12" customHeight="1" x14ac:dyDescent="0.2">
      <c r="A394" s="271"/>
    </row>
    <row r="395" spans="1:1" ht="12" customHeight="1" x14ac:dyDescent="0.2">
      <c r="A395" s="271"/>
    </row>
    <row r="396" spans="1:1" ht="12" customHeight="1" x14ac:dyDescent="0.2">
      <c r="A396" s="271"/>
    </row>
    <row r="397" spans="1:1" ht="12" customHeight="1" x14ac:dyDescent="0.2">
      <c r="A397" s="271"/>
    </row>
    <row r="398" spans="1:1" ht="12" customHeight="1" x14ac:dyDescent="0.2">
      <c r="A398" s="271"/>
    </row>
    <row r="399" spans="1:1" ht="12" customHeight="1" x14ac:dyDescent="0.2">
      <c r="A399" s="271"/>
    </row>
    <row r="400" spans="1:1" ht="12" customHeight="1" x14ac:dyDescent="0.2">
      <c r="A400" s="271"/>
    </row>
    <row r="401" spans="1:1" ht="12" customHeight="1" x14ac:dyDescent="0.2">
      <c r="A401" s="271"/>
    </row>
    <row r="402" spans="1:1" ht="12" customHeight="1" x14ac:dyDescent="0.2">
      <c r="A402" s="271"/>
    </row>
    <row r="403" spans="1:1" ht="12" customHeight="1" x14ac:dyDescent="0.2">
      <c r="A403" s="271"/>
    </row>
    <row r="404" spans="1:1" ht="12" customHeight="1" x14ac:dyDescent="0.2">
      <c r="A404" s="271"/>
    </row>
    <row r="405" spans="1:1" ht="12" customHeight="1" x14ac:dyDescent="0.2">
      <c r="A405" s="271"/>
    </row>
    <row r="406" spans="1:1" ht="12" customHeight="1" x14ac:dyDescent="0.2">
      <c r="A406" s="271"/>
    </row>
    <row r="407" spans="1:1" ht="12" customHeight="1" x14ac:dyDescent="0.2">
      <c r="A407" s="271"/>
    </row>
    <row r="408" spans="1:1" ht="12" customHeight="1" x14ac:dyDescent="0.2">
      <c r="A408" s="271"/>
    </row>
    <row r="409" spans="1:1" ht="12" customHeight="1" x14ac:dyDescent="0.2">
      <c r="A409" s="271"/>
    </row>
    <row r="410" spans="1:1" ht="12" customHeight="1" x14ac:dyDescent="0.2">
      <c r="A410" s="271"/>
    </row>
    <row r="411" spans="1:1" ht="12" customHeight="1" x14ac:dyDescent="0.2">
      <c r="A411" s="271"/>
    </row>
    <row r="412" spans="1:1" ht="12" customHeight="1" x14ac:dyDescent="0.2">
      <c r="A412" s="271"/>
    </row>
    <row r="413" spans="1:1" ht="12" customHeight="1" x14ac:dyDescent="0.2">
      <c r="A413" s="271"/>
    </row>
    <row r="414" spans="1:1" ht="12" customHeight="1" x14ac:dyDescent="0.2">
      <c r="A414" s="271"/>
    </row>
    <row r="415" spans="1:1" ht="12" customHeight="1" x14ac:dyDescent="0.2">
      <c r="A415" s="271"/>
    </row>
    <row r="416" spans="1:1" ht="12" customHeight="1" x14ac:dyDescent="0.2">
      <c r="A416" s="271"/>
    </row>
    <row r="417" spans="1:1" ht="12" customHeight="1" x14ac:dyDescent="0.2">
      <c r="A417" s="271"/>
    </row>
    <row r="418" spans="1:1" ht="12" customHeight="1" x14ac:dyDescent="0.2">
      <c r="A418" s="271"/>
    </row>
    <row r="419" spans="1:1" ht="12" customHeight="1" x14ac:dyDescent="0.2">
      <c r="A419" s="271"/>
    </row>
    <row r="420" spans="1:1" ht="12" customHeight="1" x14ac:dyDescent="0.2">
      <c r="A420" s="271"/>
    </row>
    <row r="421" spans="1:1" ht="12" customHeight="1" x14ac:dyDescent="0.2">
      <c r="A421" s="271"/>
    </row>
    <row r="422" spans="1:1" ht="12" customHeight="1" x14ac:dyDescent="0.2">
      <c r="A422" s="271"/>
    </row>
    <row r="423" spans="1:1" ht="12" customHeight="1" x14ac:dyDescent="0.2">
      <c r="A423" s="271"/>
    </row>
    <row r="424" spans="1:1" ht="12" customHeight="1" x14ac:dyDescent="0.2">
      <c r="A424" s="271"/>
    </row>
    <row r="425" spans="1:1" ht="12" customHeight="1" x14ac:dyDescent="0.2">
      <c r="A425" s="271"/>
    </row>
    <row r="426" spans="1:1" ht="12" customHeight="1" x14ac:dyDescent="0.2">
      <c r="A426" s="271"/>
    </row>
    <row r="427" spans="1:1" ht="12" customHeight="1" x14ac:dyDescent="0.2">
      <c r="A427" s="271"/>
    </row>
    <row r="428" spans="1:1" ht="12" customHeight="1" x14ac:dyDescent="0.2">
      <c r="A428" s="271"/>
    </row>
    <row r="429" spans="1:1" ht="12" customHeight="1" x14ac:dyDescent="0.2">
      <c r="A429" s="271"/>
    </row>
    <row r="430" spans="1:1" ht="12" customHeight="1" x14ac:dyDescent="0.2">
      <c r="A430" s="271"/>
    </row>
    <row r="431" spans="1:1" ht="12" customHeight="1" x14ac:dyDescent="0.2">
      <c r="A431" s="271"/>
    </row>
    <row r="432" spans="1:1" ht="12" customHeight="1" x14ac:dyDescent="0.2">
      <c r="A432" s="271"/>
    </row>
    <row r="433" spans="1:1" ht="12" customHeight="1" x14ac:dyDescent="0.2">
      <c r="A433" s="271"/>
    </row>
    <row r="434" spans="1:1" ht="12" customHeight="1" x14ac:dyDescent="0.2">
      <c r="A434" s="271"/>
    </row>
    <row r="435" spans="1:1" ht="12" customHeight="1" x14ac:dyDescent="0.2">
      <c r="A435" s="271"/>
    </row>
    <row r="436" spans="1:1" ht="12" customHeight="1" x14ac:dyDescent="0.2">
      <c r="A436" s="271"/>
    </row>
    <row r="437" spans="1:1" ht="12" customHeight="1" x14ac:dyDescent="0.2">
      <c r="A437" s="271"/>
    </row>
    <row r="438" spans="1:1" ht="12" customHeight="1" x14ac:dyDescent="0.2">
      <c r="A438" s="271"/>
    </row>
    <row r="439" spans="1:1" ht="12" customHeight="1" x14ac:dyDescent="0.2">
      <c r="A439" s="271"/>
    </row>
    <row r="440" spans="1:1" ht="12" customHeight="1" x14ac:dyDescent="0.2">
      <c r="A440" s="271"/>
    </row>
    <row r="441" spans="1:1" ht="12" customHeight="1" x14ac:dyDescent="0.2">
      <c r="A441" s="271"/>
    </row>
    <row r="442" spans="1:1" ht="12" customHeight="1" x14ac:dyDescent="0.2">
      <c r="A442" s="271"/>
    </row>
    <row r="443" spans="1:1" ht="12" customHeight="1" x14ac:dyDescent="0.2">
      <c r="A443" s="271"/>
    </row>
    <row r="444" spans="1:1" ht="12" customHeight="1" x14ac:dyDescent="0.2">
      <c r="A444" s="271"/>
    </row>
    <row r="445" spans="1:1" ht="12" customHeight="1" x14ac:dyDescent="0.2">
      <c r="A445" s="271"/>
    </row>
    <row r="446" spans="1:1" ht="12" customHeight="1" x14ac:dyDescent="0.2">
      <c r="A446" s="271"/>
    </row>
    <row r="447" spans="1:1" ht="12" customHeight="1" x14ac:dyDescent="0.2">
      <c r="A447" s="271"/>
    </row>
    <row r="448" spans="1:1" ht="12" customHeight="1" x14ac:dyDescent="0.2">
      <c r="A448" s="271"/>
    </row>
    <row r="449" spans="1:1" ht="12" customHeight="1" x14ac:dyDescent="0.2">
      <c r="A449" s="271"/>
    </row>
    <row r="450" spans="1:1" ht="12" customHeight="1" x14ac:dyDescent="0.2">
      <c r="A450" s="271"/>
    </row>
    <row r="451" spans="1:1" ht="12" customHeight="1" x14ac:dyDescent="0.2">
      <c r="A451" s="271"/>
    </row>
    <row r="452" spans="1:1" ht="12" customHeight="1" x14ac:dyDescent="0.2">
      <c r="A452" s="271"/>
    </row>
    <row r="453" spans="1:1" ht="12" customHeight="1" x14ac:dyDescent="0.2">
      <c r="A453" s="271"/>
    </row>
    <row r="454" spans="1:1" ht="12" customHeight="1" x14ac:dyDescent="0.2">
      <c r="A454" s="271"/>
    </row>
    <row r="455" spans="1:1" ht="12" customHeight="1" x14ac:dyDescent="0.2">
      <c r="A455" s="271"/>
    </row>
    <row r="456" spans="1:1" ht="12" customHeight="1" x14ac:dyDescent="0.2">
      <c r="A456" s="271"/>
    </row>
    <row r="457" spans="1:1" ht="12" customHeight="1" x14ac:dyDescent="0.2">
      <c r="A457" s="271"/>
    </row>
    <row r="458" spans="1:1" ht="12" customHeight="1" x14ac:dyDescent="0.2">
      <c r="A458" s="271"/>
    </row>
    <row r="459" spans="1:1" ht="12" customHeight="1" x14ac:dyDescent="0.2">
      <c r="A459" s="271"/>
    </row>
    <row r="460" spans="1:1" ht="12" customHeight="1" x14ac:dyDescent="0.2">
      <c r="A460" s="271"/>
    </row>
    <row r="461" spans="1:1" ht="12" customHeight="1" x14ac:dyDescent="0.2">
      <c r="A461" s="271"/>
    </row>
    <row r="462" spans="1:1" ht="12" customHeight="1" x14ac:dyDescent="0.2">
      <c r="A462" s="271"/>
    </row>
    <row r="463" spans="1:1" ht="12" customHeight="1" x14ac:dyDescent="0.2">
      <c r="A463" s="271"/>
    </row>
    <row r="464" spans="1:1" ht="12" customHeight="1" x14ac:dyDescent="0.2">
      <c r="A464" s="271"/>
    </row>
    <row r="465" spans="1:1" ht="12" customHeight="1" x14ac:dyDescent="0.2">
      <c r="A465" s="271"/>
    </row>
    <row r="466" spans="1:1" ht="12" customHeight="1" x14ac:dyDescent="0.2">
      <c r="A466" s="271"/>
    </row>
    <row r="467" spans="1:1" ht="12" customHeight="1" x14ac:dyDescent="0.2">
      <c r="A467" s="271"/>
    </row>
    <row r="468" spans="1:1" ht="12" customHeight="1" x14ac:dyDescent="0.2">
      <c r="A468" s="271"/>
    </row>
    <row r="469" spans="1:1" ht="12" customHeight="1" x14ac:dyDescent="0.2">
      <c r="A469" s="271"/>
    </row>
    <row r="470" spans="1:1" ht="12" customHeight="1" x14ac:dyDescent="0.2">
      <c r="A470" s="271"/>
    </row>
    <row r="471" spans="1:1" ht="12" customHeight="1" x14ac:dyDescent="0.2">
      <c r="A471" s="271"/>
    </row>
    <row r="472" spans="1:1" ht="12" customHeight="1" x14ac:dyDescent="0.2">
      <c r="A472" s="271"/>
    </row>
    <row r="473" spans="1:1" ht="12" customHeight="1" x14ac:dyDescent="0.2">
      <c r="A473" s="271"/>
    </row>
    <row r="474" spans="1:1" ht="12" customHeight="1" x14ac:dyDescent="0.2">
      <c r="A474" s="271"/>
    </row>
    <row r="475" spans="1:1" ht="12" customHeight="1" x14ac:dyDescent="0.2">
      <c r="A475" s="271"/>
    </row>
    <row r="476" spans="1:1" ht="12" customHeight="1" x14ac:dyDescent="0.2">
      <c r="A476" s="271"/>
    </row>
    <row r="477" spans="1:1" ht="12" customHeight="1" x14ac:dyDescent="0.2">
      <c r="A477" s="271"/>
    </row>
    <row r="478" spans="1:1" ht="12" customHeight="1" x14ac:dyDescent="0.2">
      <c r="A478" s="271"/>
    </row>
    <row r="479" spans="1:1" ht="12" customHeight="1" x14ac:dyDescent="0.2">
      <c r="A479" s="271"/>
    </row>
    <row r="480" spans="1:1" ht="12" customHeight="1" x14ac:dyDescent="0.2">
      <c r="A480" s="271"/>
    </row>
    <row r="481" spans="1:1" ht="12" customHeight="1" x14ac:dyDescent="0.2">
      <c r="A481" s="271"/>
    </row>
    <row r="482" spans="1:1" ht="12" customHeight="1" x14ac:dyDescent="0.2">
      <c r="A482" s="271"/>
    </row>
    <row r="483" spans="1:1" ht="12" customHeight="1" x14ac:dyDescent="0.2">
      <c r="A483" s="271"/>
    </row>
    <row r="484" spans="1:1" ht="12" customHeight="1" x14ac:dyDescent="0.2">
      <c r="A484" s="271"/>
    </row>
    <row r="485" spans="1:1" ht="12" customHeight="1" x14ac:dyDescent="0.2">
      <c r="A485" s="271"/>
    </row>
    <row r="486" spans="1:1" ht="12" customHeight="1" x14ac:dyDescent="0.2">
      <c r="A486" s="271"/>
    </row>
    <row r="487" spans="1:1" ht="12" customHeight="1" x14ac:dyDescent="0.2">
      <c r="A487" s="271"/>
    </row>
    <row r="488" spans="1:1" ht="12" customHeight="1" x14ac:dyDescent="0.2">
      <c r="A488" s="271"/>
    </row>
    <row r="489" spans="1:1" ht="12" customHeight="1" x14ac:dyDescent="0.2">
      <c r="A489" s="271"/>
    </row>
    <row r="490" spans="1:1" ht="12" customHeight="1" x14ac:dyDescent="0.2">
      <c r="A490" s="271"/>
    </row>
    <row r="491" spans="1:1" ht="12" customHeight="1" x14ac:dyDescent="0.2">
      <c r="A491" s="271"/>
    </row>
    <row r="492" spans="1:1" ht="12" customHeight="1" x14ac:dyDescent="0.2">
      <c r="A492" s="271"/>
    </row>
    <row r="493" spans="1:1" ht="12" customHeight="1" x14ac:dyDescent="0.2">
      <c r="A493" s="271"/>
    </row>
    <row r="494" spans="1:1" ht="12" customHeight="1" x14ac:dyDescent="0.2">
      <c r="A494" s="271"/>
    </row>
    <row r="495" spans="1:1" ht="12" customHeight="1" x14ac:dyDescent="0.2">
      <c r="A495" s="271"/>
    </row>
    <row r="496" spans="1:1" ht="12" customHeight="1" x14ac:dyDescent="0.2">
      <c r="A496" s="271"/>
    </row>
    <row r="497" spans="1:1" ht="12" customHeight="1" x14ac:dyDescent="0.2">
      <c r="A497" s="271"/>
    </row>
    <row r="498" spans="1:1" ht="12" customHeight="1" x14ac:dyDescent="0.2">
      <c r="A498" s="271"/>
    </row>
    <row r="499" spans="1:1" ht="12" customHeight="1" x14ac:dyDescent="0.2">
      <c r="A499" s="271"/>
    </row>
    <row r="500" spans="1:1" ht="12" customHeight="1" x14ac:dyDescent="0.2">
      <c r="A500" s="271"/>
    </row>
    <row r="501" spans="1:1" ht="12" customHeight="1" x14ac:dyDescent="0.2">
      <c r="A501" s="271"/>
    </row>
    <row r="502" spans="1:1" ht="12" customHeight="1" x14ac:dyDescent="0.2">
      <c r="A502" s="271"/>
    </row>
    <row r="503" spans="1:1" ht="12" customHeight="1" x14ac:dyDescent="0.2">
      <c r="A503" s="271"/>
    </row>
    <row r="504" spans="1:1" ht="12" customHeight="1" x14ac:dyDescent="0.2">
      <c r="A504" s="271"/>
    </row>
    <row r="505" spans="1:1" ht="12" customHeight="1" x14ac:dyDescent="0.2">
      <c r="A505" s="271"/>
    </row>
    <row r="506" spans="1:1" ht="12" customHeight="1" x14ac:dyDescent="0.2">
      <c r="A506" s="271"/>
    </row>
    <row r="507" spans="1:1" ht="12" customHeight="1" x14ac:dyDescent="0.2">
      <c r="A507" s="271"/>
    </row>
    <row r="508" spans="1:1" ht="12" customHeight="1" x14ac:dyDescent="0.2">
      <c r="A508" s="271"/>
    </row>
    <row r="509" spans="1:1" ht="12" customHeight="1" x14ac:dyDescent="0.2">
      <c r="A509" s="271"/>
    </row>
    <row r="510" spans="1:1" ht="12" customHeight="1" x14ac:dyDescent="0.2">
      <c r="A510" s="271"/>
    </row>
    <row r="511" spans="1:1" ht="12" customHeight="1" x14ac:dyDescent="0.2">
      <c r="A511" s="271"/>
    </row>
    <row r="512" spans="1:1" ht="12" customHeight="1" x14ac:dyDescent="0.2">
      <c r="A512" s="271"/>
    </row>
    <row r="513" spans="1:1" ht="12" customHeight="1" x14ac:dyDescent="0.2">
      <c r="A513" s="271"/>
    </row>
    <row r="514" spans="1:1" ht="12" customHeight="1" x14ac:dyDescent="0.2">
      <c r="A514" s="271"/>
    </row>
    <row r="515" spans="1:1" ht="12" customHeight="1" x14ac:dyDescent="0.2">
      <c r="A515" s="271"/>
    </row>
    <row r="516" spans="1:1" ht="12" customHeight="1" x14ac:dyDescent="0.2">
      <c r="A516" s="271"/>
    </row>
    <row r="517" spans="1:1" ht="12" customHeight="1" x14ac:dyDescent="0.2">
      <c r="A517" s="271"/>
    </row>
    <row r="518" spans="1:1" ht="12" customHeight="1" x14ac:dyDescent="0.2">
      <c r="A518" s="271"/>
    </row>
    <row r="519" spans="1:1" ht="12" customHeight="1" x14ac:dyDescent="0.2">
      <c r="A519" s="271"/>
    </row>
    <row r="520" spans="1:1" ht="12" customHeight="1" x14ac:dyDescent="0.2">
      <c r="A520" s="271"/>
    </row>
    <row r="521" spans="1:1" ht="12" customHeight="1" x14ac:dyDescent="0.2">
      <c r="A521" s="271"/>
    </row>
    <row r="522" spans="1:1" ht="12" customHeight="1" x14ac:dyDescent="0.2">
      <c r="A522" s="271"/>
    </row>
    <row r="523" spans="1:1" ht="12" customHeight="1" x14ac:dyDescent="0.2">
      <c r="A523" s="271"/>
    </row>
    <row r="524" spans="1:1" ht="12" customHeight="1" x14ac:dyDescent="0.2">
      <c r="A524" s="271"/>
    </row>
    <row r="525" spans="1:1" ht="12" customHeight="1" x14ac:dyDescent="0.2">
      <c r="A525" s="271"/>
    </row>
    <row r="526" spans="1:1" ht="12" customHeight="1" x14ac:dyDescent="0.2">
      <c r="A526" s="271"/>
    </row>
    <row r="527" spans="1:1" ht="12" customHeight="1" x14ac:dyDescent="0.2">
      <c r="A527" s="271"/>
    </row>
    <row r="528" spans="1:1" ht="12" customHeight="1" x14ac:dyDescent="0.2">
      <c r="A528" s="271"/>
    </row>
    <row r="529" spans="1:1" ht="12" customHeight="1" x14ac:dyDescent="0.2">
      <c r="A529" s="271"/>
    </row>
    <row r="530" spans="1:1" ht="12" customHeight="1" x14ac:dyDescent="0.2">
      <c r="A530" s="271"/>
    </row>
    <row r="531" spans="1:1" ht="12" customHeight="1" x14ac:dyDescent="0.2">
      <c r="A531" s="271"/>
    </row>
    <row r="532" spans="1:1" ht="12" customHeight="1" x14ac:dyDescent="0.2">
      <c r="A532" s="271"/>
    </row>
    <row r="533" spans="1:1" ht="12" customHeight="1" x14ac:dyDescent="0.2">
      <c r="A533" s="271"/>
    </row>
    <row r="534" spans="1:1" ht="12" customHeight="1" x14ac:dyDescent="0.2">
      <c r="A534" s="271"/>
    </row>
    <row r="535" spans="1:1" ht="12" customHeight="1" x14ac:dyDescent="0.2">
      <c r="A535" s="271"/>
    </row>
    <row r="536" spans="1:1" ht="12" customHeight="1" x14ac:dyDescent="0.2">
      <c r="A536" s="271"/>
    </row>
    <row r="537" spans="1:1" ht="12" customHeight="1" x14ac:dyDescent="0.2">
      <c r="A537" s="271"/>
    </row>
    <row r="538" spans="1:1" ht="12" customHeight="1" x14ac:dyDescent="0.2">
      <c r="A538" s="271"/>
    </row>
    <row r="539" spans="1:1" ht="12" customHeight="1" x14ac:dyDescent="0.2">
      <c r="A539" s="271"/>
    </row>
    <row r="540" spans="1:1" ht="12" customHeight="1" x14ac:dyDescent="0.2">
      <c r="A540" s="271"/>
    </row>
    <row r="541" spans="1:1" ht="12" customHeight="1" x14ac:dyDescent="0.2">
      <c r="A541" s="271"/>
    </row>
    <row r="542" spans="1:1" ht="12" customHeight="1" x14ac:dyDescent="0.2">
      <c r="A542" s="271"/>
    </row>
    <row r="543" spans="1:1" ht="12" customHeight="1" x14ac:dyDescent="0.2">
      <c r="A543" s="271"/>
    </row>
    <row r="544" spans="1:1" ht="12" customHeight="1" x14ac:dyDescent="0.2">
      <c r="A544" s="271"/>
    </row>
    <row r="545" spans="1:1" ht="12" customHeight="1" x14ac:dyDescent="0.2">
      <c r="A545" s="271"/>
    </row>
    <row r="546" spans="1:1" ht="12" customHeight="1" x14ac:dyDescent="0.2">
      <c r="A546" s="271"/>
    </row>
    <row r="547" spans="1:1" ht="12" customHeight="1" x14ac:dyDescent="0.2">
      <c r="A547" s="271"/>
    </row>
    <row r="548" spans="1:1" ht="12" customHeight="1" x14ac:dyDescent="0.2">
      <c r="A548" s="271"/>
    </row>
    <row r="549" spans="1:1" ht="12" customHeight="1" x14ac:dyDescent="0.2">
      <c r="A549" s="271"/>
    </row>
    <row r="550" spans="1:1" ht="12" customHeight="1" x14ac:dyDescent="0.2">
      <c r="A550" s="271"/>
    </row>
    <row r="551" spans="1:1" ht="12" customHeight="1" x14ac:dyDescent="0.2">
      <c r="A551" s="271"/>
    </row>
    <row r="552" spans="1:1" ht="12" customHeight="1" x14ac:dyDescent="0.2">
      <c r="A552" s="271"/>
    </row>
    <row r="553" spans="1:1" ht="12" customHeight="1" x14ac:dyDescent="0.2">
      <c r="A553" s="271"/>
    </row>
    <row r="554" spans="1:1" ht="12" customHeight="1" x14ac:dyDescent="0.2">
      <c r="A554" s="271"/>
    </row>
    <row r="555" spans="1:1" ht="12" customHeight="1" x14ac:dyDescent="0.2">
      <c r="A555" s="271"/>
    </row>
    <row r="556" spans="1:1" ht="12" customHeight="1" x14ac:dyDescent="0.2">
      <c r="A556" s="271"/>
    </row>
    <row r="557" spans="1:1" ht="12" customHeight="1" x14ac:dyDescent="0.2">
      <c r="A557" s="271"/>
    </row>
    <row r="558" spans="1:1" ht="12" customHeight="1" x14ac:dyDescent="0.2">
      <c r="A558" s="271"/>
    </row>
    <row r="559" spans="1:1" ht="12" customHeight="1" x14ac:dyDescent="0.2">
      <c r="A559" s="271"/>
    </row>
    <row r="560" spans="1:1" ht="12" customHeight="1" x14ac:dyDescent="0.2">
      <c r="A560" s="271"/>
    </row>
    <row r="561" spans="1:1" ht="12" customHeight="1" x14ac:dyDescent="0.2">
      <c r="A561" s="271"/>
    </row>
    <row r="562" spans="1:1" ht="12" customHeight="1" x14ac:dyDescent="0.2">
      <c r="A562" s="271"/>
    </row>
    <row r="563" spans="1:1" ht="12" customHeight="1" x14ac:dyDescent="0.2">
      <c r="A563" s="271"/>
    </row>
    <row r="564" spans="1:1" ht="12" customHeight="1" x14ac:dyDescent="0.2">
      <c r="A564" s="271"/>
    </row>
    <row r="565" spans="1:1" ht="12" customHeight="1" x14ac:dyDescent="0.2">
      <c r="A565" s="271"/>
    </row>
    <row r="566" spans="1:1" ht="12" customHeight="1" x14ac:dyDescent="0.2">
      <c r="A566" s="271"/>
    </row>
    <row r="567" spans="1:1" ht="12" customHeight="1" x14ac:dyDescent="0.2">
      <c r="A567" s="271"/>
    </row>
    <row r="568" spans="1:1" ht="12" customHeight="1" x14ac:dyDescent="0.2">
      <c r="A568" s="271"/>
    </row>
    <row r="569" spans="1:1" ht="12" customHeight="1" x14ac:dyDescent="0.2">
      <c r="A569" s="271"/>
    </row>
    <row r="570" spans="1:1" ht="12" customHeight="1" x14ac:dyDescent="0.2">
      <c r="A570" s="271"/>
    </row>
    <row r="571" spans="1:1" ht="12" customHeight="1" x14ac:dyDescent="0.2">
      <c r="A571" s="271"/>
    </row>
    <row r="572" spans="1:1" ht="12" customHeight="1" x14ac:dyDescent="0.2">
      <c r="A572" s="271"/>
    </row>
    <row r="573" spans="1:1" ht="12" customHeight="1" x14ac:dyDescent="0.2">
      <c r="A573" s="271"/>
    </row>
    <row r="574" spans="1:1" ht="12" customHeight="1" x14ac:dyDescent="0.2">
      <c r="A574" s="271"/>
    </row>
    <row r="575" spans="1:1" ht="12" customHeight="1" x14ac:dyDescent="0.2">
      <c r="A575" s="271"/>
    </row>
    <row r="576" spans="1:1" ht="12" customHeight="1" x14ac:dyDescent="0.2">
      <c r="A576" s="271"/>
    </row>
    <row r="577" spans="1:1" ht="12" customHeight="1" x14ac:dyDescent="0.2">
      <c r="A577" s="271"/>
    </row>
    <row r="578" spans="1:1" ht="12" customHeight="1" x14ac:dyDescent="0.2">
      <c r="A578" s="271"/>
    </row>
    <row r="579" spans="1:1" ht="12" customHeight="1" x14ac:dyDescent="0.2">
      <c r="A579" s="271"/>
    </row>
    <row r="580" spans="1:1" ht="12" customHeight="1" x14ac:dyDescent="0.2">
      <c r="A580" s="271"/>
    </row>
    <row r="581" spans="1:1" ht="12" customHeight="1" x14ac:dyDescent="0.2">
      <c r="A581" s="271"/>
    </row>
    <row r="582" spans="1:1" ht="12" customHeight="1" x14ac:dyDescent="0.2">
      <c r="A582" s="271"/>
    </row>
    <row r="583" spans="1:1" ht="12" customHeight="1" x14ac:dyDescent="0.2">
      <c r="A583" s="271"/>
    </row>
    <row r="584" spans="1:1" ht="12" customHeight="1" x14ac:dyDescent="0.2">
      <c r="A584" s="271"/>
    </row>
    <row r="585" spans="1:1" ht="12" customHeight="1" x14ac:dyDescent="0.2">
      <c r="A585" s="271"/>
    </row>
    <row r="586" spans="1:1" ht="12" customHeight="1" x14ac:dyDescent="0.2">
      <c r="A586" s="271"/>
    </row>
    <row r="587" spans="1:1" ht="12" customHeight="1" x14ac:dyDescent="0.2">
      <c r="A587" s="271"/>
    </row>
    <row r="588" spans="1:1" ht="12" customHeight="1" x14ac:dyDescent="0.2">
      <c r="A588" s="271"/>
    </row>
    <row r="589" spans="1:1" ht="12" customHeight="1" x14ac:dyDescent="0.2">
      <c r="A589" s="271"/>
    </row>
    <row r="590" spans="1:1" ht="12" customHeight="1" x14ac:dyDescent="0.2">
      <c r="A590" s="271"/>
    </row>
    <row r="591" spans="1:1" ht="12" customHeight="1" x14ac:dyDescent="0.2">
      <c r="A591" s="271"/>
    </row>
    <row r="592" spans="1:1" ht="12" customHeight="1" x14ac:dyDescent="0.2">
      <c r="A592" s="271"/>
    </row>
    <row r="593" spans="1:1" ht="12" customHeight="1" x14ac:dyDescent="0.2">
      <c r="A593" s="271"/>
    </row>
    <row r="594" spans="1:1" ht="12" customHeight="1" x14ac:dyDescent="0.2">
      <c r="A594" s="271"/>
    </row>
    <row r="595" spans="1:1" ht="12" customHeight="1" x14ac:dyDescent="0.2">
      <c r="A595" s="271"/>
    </row>
    <row r="596" spans="1:1" ht="12" customHeight="1" x14ac:dyDescent="0.2">
      <c r="A596" s="271"/>
    </row>
    <row r="597" spans="1:1" ht="12" customHeight="1" x14ac:dyDescent="0.2">
      <c r="A597" s="271"/>
    </row>
    <row r="598" spans="1:1" ht="12" customHeight="1" x14ac:dyDescent="0.2">
      <c r="A598" s="271"/>
    </row>
    <row r="599" spans="1:1" ht="12" customHeight="1" x14ac:dyDescent="0.2">
      <c r="A599" s="271"/>
    </row>
    <row r="600" spans="1:1" ht="12" customHeight="1" x14ac:dyDescent="0.2">
      <c r="A600" s="271"/>
    </row>
    <row r="601" spans="1:1" ht="12" customHeight="1" x14ac:dyDescent="0.2">
      <c r="A601" s="271"/>
    </row>
    <row r="602" spans="1:1" ht="12" customHeight="1" x14ac:dyDescent="0.2">
      <c r="A602" s="271"/>
    </row>
    <row r="603" spans="1:1" ht="12" customHeight="1" x14ac:dyDescent="0.2">
      <c r="A603" s="271"/>
    </row>
    <row r="604" spans="1:1" ht="12" customHeight="1" x14ac:dyDescent="0.2">
      <c r="A604" s="271"/>
    </row>
    <row r="605" spans="1:1" ht="12" customHeight="1" x14ac:dyDescent="0.2">
      <c r="A605" s="271"/>
    </row>
    <row r="606" spans="1:1" ht="12" customHeight="1" x14ac:dyDescent="0.2">
      <c r="A606" s="271"/>
    </row>
    <row r="607" spans="1:1" ht="12" customHeight="1" x14ac:dyDescent="0.2">
      <c r="A607" s="271"/>
    </row>
    <row r="608" spans="1:1" ht="12" customHeight="1" x14ac:dyDescent="0.2">
      <c r="A608" s="271"/>
    </row>
    <row r="609" spans="1:1" ht="12" customHeight="1" x14ac:dyDescent="0.2">
      <c r="A609" s="271"/>
    </row>
    <row r="610" spans="1:1" ht="12" customHeight="1" x14ac:dyDescent="0.2">
      <c r="A610" s="271"/>
    </row>
    <row r="611" spans="1:1" ht="12" customHeight="1" x14ac:dyDescent="0.2">
      <c r="A611" s="271"/>
    </row>
    <row r="612" spans="1:1" ht="12" customHeight="1" x14ac:dyDescent="0.2">
      <c r="A612" s="271"/>
    </row>
    <row r="613" spans="1:1" ht="12" customHeight="1" x14ac:dyDescent="0.2">
      <c r="A613" s="271"/>
    </row>
    <row r="614" spans="1:1" ht="12" customHeight="1" x14ac:dyDescent="0.2">
      <c r="A614" s="271"/>
    </row>
    <row r="615" spans="1:1" ht="12" customHeight="1" x14ac:dyDescent="0.2">
      <c r="A615" s="271"/>
    </row>
    <row r="616" spans="1:1" ht="12" customHeight="1" x14ac:dyDescent="0.2">
      <c r="A616" s="271"/>
    </row>
    <row r="617" spans="1:1" ht="12" customHeight="1" x14ac:dyDescent="0.2">
      <c r="A617" s="271"/>
    </row>
    <row r="618" spans="1:1" ht="12" customHeight="1" x14ac:dyDescent="0.2">
      <c r="A618" s="271"/>
    </row>
    <row r="619" spans="1:1" ht="12" customHeight="1" x14ac:dyDescent="0.2">
      <c r="A619" s="271"/>
    </row>
    <row r="620" spans="1:1" ht="12" customHeight="1" x14ac:dyDescent="0.2">
      <c r="A620" s="271"/>
    </row>
    <row r="621" spans="1:1" ht="12" customHeight="1" x14ac:dyDescent="0.2">
      <c r="A621" s="271"/>
    </row>
    <row r="622" spans="1:1" ht="12" customHeight="1" x14ac:dyDescent="0.2">
      <c r="A622" s="271"/>
    </row>
    <row r="623" spans="1:1" ht="12" customHeight="1" x14ac:dyDescent="0.2">
      <c r="A623" s="271"/>
    </row>
    <row r="624" spans="1:1" ht="12" customHeight="1" x14ac:dyDescent="0.2">
      <c r="A624" s="271"/>
    </row>
    <row r="625" spans="1:1" ht="12" customHeight="1" x14ac:dyDescent="0.2">
      <c r="A625" s="271"/>
    </row>
    <row r="626" spans="1:1" ht="12" customHeight="1" x14ac:dyDescent="0.2">
      <c r="A626" s="271"/>
    </row>
    <row r="627" spans="1:1" ht="12" customHeight="1" x14ac:dyDescent="0.2">
      <c r="A627" s="271"/>
    </row>
    <row r="628" spans="1:1" ht="12" customHeight="1" x14ac:dyDescent="0.2">
      <c r="A628" s="271"/>
    </row>
    <row r="629" spans="1:1" ht="12" customHeight="1" x14ac:dyDescent="0.2">
      <c r="A629" s="271"/>
    </row>
    <row r="630" spans="1:1" ht="12" customHeight="1" x14ac:dyDescent="0.2">
      <c r="A630" s="271"/>
    </row>
    <row r="631" spans="1:1" ht="12" customHeight="1" x14ac:dyDescent="0.2">
      <c r="A631" s="271"/>
    </row>
    <row r="632" spans="1:1" ht="12" customHeight="1" x14ac:dyDescent="0.2">
      <c r="A632" s="271"/>
    </row>
    <row r="633" spans="1:1" ht="12" customHeight="1" x14ac:dyDescent="0.2">
      <c r="A633" s="271"/>
    </row>
    <row r="634" spans="1:1" ht="12" customHeight="1" x14ac:dyDescent="0.2">
      <c r="A634" s="271"/>
    </row>
    <row r="635" spans="1:1" ht="12" customHeight="1" x14ac:dyDescent="0.2">
      <c r="A635" s="271"/>
    </row>
    <row r="636" spans="1:1" ht="12" customHeight="1" x14ac:dyDescent="0.2">
      <c r="A636" s="271"/>
    </row>
    <row r="637" spans="1:1" ht="12" customHeight="1" x14ac:dyDescent="0.2">
      <c r="A637" s="271"/>
    </row>
    <row r="638" spans="1:1" ht="12" customHeight="1" x14ac:dyDescent="0.2">
      <c r="A638" s="271"/>
    </row>
    <row r="639" spans="1:1" ht="12" customHeight="1" x14ac:dyDescent="0.2">
      <c r="A639" s="271"/>
    </row>
    <row r="640" spans="1:1" ht="12" customHeight="1" x14ac:dyDescent="0.2">
      <c r="A640" s="271"/>
    </row>
    <row r="641" spans="1:1" ht="12" customHeight="1" x14ac:dyDescent="0.2">
      <c r="A641" s="271"/>
    </row>
    <row r="642" spans="1:1" ht="12" customHeight="1" x14ac:dyDescent="0.2">
      <c r="A642" s="271"/>
    </row>
    <row r="643" spans="1:1" ht="12" customHeight="1" x14ac:dyDescent="0.2">
      <c r="A643" s="271"/>
    </row>
    <row r="644" spans="1:1" ht="12" customHeight="1" x14ac:dyDescent="0.2">
      <c r="A644" s="271"/>
    </row>
    <row r="645" spans="1:1" ht="12" customHeight="1" x14ac:dyDescent="0.2">
      <c r="A645" s="271"/>
    </row>
    <row r="646" spans="1:1" ht="12" customHeight="1" x14ac:dyDescent="0.2">
      <c r="A646" s="271"/>
    </row>
    <row r="647" spans="1:1" ht="12" customHeight="1" x14ac:dyDescent="0.2">
      <c r="A647" s="271"/>
    </row>
    <row r="648" spans="1:1" ht="12" customHeight="1" x14ac:dyDescent="0.2">
      <c r="A648" s="271"/>
    </row>
    <row r="649" spans="1:1" ht="12" customHeight="1" x14ac:dyDescent="0.2">
      <c r="A649" s="271"/>
    </row>
    <row r="650" spans="1:1" ht="12" customHeight="1" x14ac:dyDescent="0.2">
      <c r="A650" s="271"/>
    </row>
    <row r="651" spans="1:1" ht="12" customHeight="1" x14ac:dyDescent="0.2">
      <c r="A651" s="271"/>
    </row>
    <row r="652" spans="1:1" ht="12" customHeight="1" x14ac:dyDescent="0.2">
      <c r="A652" s="271"/>
    </row>
    <row r="653" spans="1:1" ht="12" customHeight="1" x14ac:dyDescent="0.2">
      <c r="A653" s="271"/>
    </row>
    <row r="654" spans="1:1" ht="12" customHeight="1" x14ac:dyDescent="0.2">
      <c r="A654" s="271"/>
    </row>
    <row r="655" spans="1:1" ht="12" customHeight="1" x14ac:dyDescent="0.2">
      <c r="A655" s="271"/>
    </row>
    <row r="656" spans="1:1" ht="12" customHeight="1" x14ac:dyDescent="0.2">
      <c r="A656" s="271"/>
    </row>
    <row r="657" spans="1:1" ht="12" customHeight="1" x14ac:dyDescent="0.2">
      <c r="A657" s="271"/>
    </row>
    <row r="658" spans="1:1" ht="12" customHeight="1" x14ac:dyDescent="0.2">
      <c r="A658" s="271"/>
    </row>
    <row r="659" spans="1:1" ht="12" customHeight="1" x14ac:dyDescent="0.2">
      <c r="A659" s="271"/>
    </row>
    <row r="660" spans="1:1" ht="12" customHeight="1" x14ac:dyDescent="0.2">
      <c r="A660" s="271"/>
    </row>
    <row r="661" spans="1:1" ht="12" customHeight="1" x14ac:dyDescent="0.2">
      <c r="A661" s="271"/>
    </row>
    <row r="662" spans="1:1" ht="12" customHeight="1" x14ac:dyDescent="0.2">
      <c r="A662" s="271"/>
    </row>
    <row r="663" spans="1:1" ht="12" customHeight="1" x14ac:dyDescent="0.2">
      <c r="A663" s="271"/>
    </row>
    <row r="664" spans="1:1" ht="12" customHeight="1" x14ac:dyDescent="0.2">
      <c r="A664" s="271"/>
    </row>
    <row r="665" spans="1:1" ht="12" customHeight="1" x14ac:dyDescent="0.2">
      <c r="A665" s="271"/>
    </row>
    <row r="666" spans="1:1" ht="12" customHeight="1" x14ac:dyDescent="0.2">
      <c r="A666" s="271"/>
    </row>
    <row r="667" spans="1:1" ht="12" customHeight="1" x14ac:dyDescent="0.2">
      <c r="A667" s="271"/>
    </row>
    <row r="668" spans="1:1" ht="12" customHeight="1" x14ac:dyDescent="0.2">
      <c r="A668" s="271"/>
    </row>
    <row r="669" spans="1:1" ht="12" customHeight="1" x14ac:dyDescent="0.2">
      <c r="A669" s="271"/>
    </row>
    <row r="670" spans="1:1" ht="12" customHeight="1" x14ac:dyDescent="0.2">
      <c r="A670" s="271"/>
    </row>
    <row r="671" spans="1:1" ht="12" customHeight="1" x14ac:dyDescent="0.2">
      <c r="A671" s="271"/>
    </row>
    <row r="672" spans="1:1" ht="12" customHeight="1" x14ac:dyDescent="0.2">
      <c r="A672" s="271"/>
    </row>
    <row r="673" spans="1:1" ht="12" customHeight="1" x14ac:dyDescent="0.2">
      <c r="A673" s="271"/>
    </row>
    <row r="674" spans="1:1" ht="12" customHeight="1" x14ac:dyDescent="0.2">
      <c r="A674" s="271"/>
    </row>
    <row r="675" spans="1:1" ht="12" customHeight="1" x14ac:dyDescent="0.2">
      <c r="A675" s="271"/>
    </row>
    <row r="676" spans="1:1" ht="12" customHeight="1" x14ac:dyDescent="0.2">
      <c r="A676" s="271"/>
    </row>
    <row r="677" spans="1:1" ht="12" customHeight="1" x14ac:dyDescent="0.2">
      <c r="A677" s="271"/>
    </row>
    <row r="678" spans="1:1" ht="12" customHeight="1" x14ac:dyDescent="0.2">
      <c r="A678" s="271"/>
    </row>
    <row r="679" spans="1:1" ht="12" customHeight="1" x14ac:dyDescent="0.2">
      <c r="A679" s="271"/>
    </row>
    <row r="680" spans="1:1" ht="12" customHeight="1" x14ac:dyDescent="0.2">
      <c r="A680" s="271"/>
    </row>
    <row r="681" spans="1:1" ht="12" customHeight="1" x14ac:dyDescent="0.2">
      <c r="A681" s="271"/>
    </row>
    <row r="682" spans="1:1" ht="12" customHeight="1" x14ac:dyDescent="0.2">
      <c r="A682" s="271"/>
    </row>
    <row r="683" spans="1:1" ht="12" customHeight="1" x14ac:dyDescent="0.2">
      <c r="A683" s="271"/>
    </row>
    <row r="684" spans="1:1" ht="12" customHeight="1" x14ac:dyDescent="0.2">
      <c r="A684" s="271"/>
    </row>
    <row r="685" spans="1:1" ht="12" customHeight="1" x14ac:dyDescent="0.2">
      <c r="A685" s="271"/>
    </row>
    <row r="686" spans="1:1" ht="12" customHeight="1" x14ac:dyDescent="0.2">
      <c r="A686" s="271"/>
    </row>
    <row r="687" spans="1:1" ht="12" customHeight="1" x14ac:dyDescent="0.2">
      <c r="A687" s="271"/>
    </row>
    <row r="688" spans="1:1" ht="12" customHeight="1" x14ac:dyDescent="0.2">
      <c r="A688" s="271"/>
    </row>
    <row r="689" spans="1:1" ht="12" customHeight="1" x14ac:dyDescent="0.2">
      <c r="A689" s="271"/>
    </row>
    <row r="690" spans="1:1" ht="12" customHeight="1" x14ac:dyDescent="0.2">
      <c r="A690" s="271"/>
    </row>
    <row r="691" spans="1:1" ht="12" customHeight="1" x14ac:dyDescent="0.2">
      <c r="A691" s="271"/>
    </row>
    <row r="692" spans="1:1" ht="12" customHeight="1" x14ac:dyDescent="0.2">
      <c r="A692" s="271"/>
    </row>
    <row r="693" spans="1:1" ht="12" customHeight="1" x14ac:dyDescent="0.2">
      <c r="A693" s="271"/>
    </row>
    <row r="694" spans="1:1" ht="12" customHeight="1" x14ac:dyDescent="0.2">
      <c r="A694" s="271"/>
    </row>
    <row r="695" spans="1:1" ht="12" customHeight="1" x14ac:dyDescent="0.2">
      <c r="A695" s="271"/>
    </row>
    <row r="696" spans="1:1" ht="12" customHeight="1" x14ac:dyDescent="0.2">
      <c r="A696" s="271"/>
    </row>
    <row r="697" spans="1:1" ht="12" customHeight="1" x14ac:dyDescent="0.2">
      <c r="A697" s="271"/>
    </row>
    <row r="698" spans="1:1" ht="12" customHeight="1" x14ac:dyDescent="0.2">
      <c r="A698" s="271"/>
    </row>
    <row r="699" spans="1:1" ht="12" customHeight="1" x14ac:dyDescent="0.2">
      <c r="A699" s="271"/>
    </row>
    <row r="700" spans="1:1" ht="12" customHeight="1" x14ac:dyDescent="0.2">
      <c r="A700" s="271"/>
    </row>
    <row r="701" spans="1:1" ht="12" customHeight="1" x14ac:dyDescent="0.2">
      <c r="A701" s="271"/>
    </row>
    <row r="702" spans="1:1" ht="12" customHeight="1" x14ac:dyDescent="0.2">
      <c r="A702" s="271"/>
    </row>
    <row r="703" spans="1:1" ht="12" customHeight="1" x14ac:dyDescent="0.2">
      <c r="A703" s="271"/>
    </row>
    <row r="704" spans="1:1" ht="12" customHeight="1" x14ac:dyDescent="0.2">
      <c r="A704" s="271"/>
    </row>
    <row r="705" spans="1:1" ht="12" customHeight="1" x14ac:dyDescent="0.2">
      <c r="A705" s="271"/>
    </row>
    <row r="706" spans="1:1" ht="12" customHeight="1" x14ac:dyDescent="0.2">
      <c r="A706" s="271"/>
    </row>
    <row r="707" spans="1:1" ht="12" customHeight="1" x14ac:dyDescent="0.2">
      <c r="A707" s="271"/>
    </row>
    <row r="708" spans="1:1" ht="12" customHeight="1" x14ac:dyDescent="0.2">
      <c r="A708" s="271"/>
    </row>
    <row r="709" spans="1:1" ht="12" customHeight="1" x14ac:dyDescent="0.2">
      <c r="A709" s="271"/>
    </row>
    <row r="710" spans="1:1" ht="12" customHeight="1" x14ac:dyDescent="0.2">
      <c r="A710" s="271"/>
    </row>
    <row r="711" spans="1:1" ht="12" customHeight="1" x14ac:dyDescent="0.2">
      <c r="A711" s="271"/>
    </row>
    <row r="712" spans="1:1" ht="12" customHeight="1" x14ac:dyDescent="0.2">
      <c r="A712" s="271"/>
    </row>
    <row r="713" spans="1:1" ht="12" customHeight="1" x14ac:dyDescent="0.2">
      <c r="A713" s="271"/>
    </row>
    <row r="714" spans="1:1" ht="12" customHeight="1" x14ac:dyDescent="0.2">
      <c r="A714" s="271"/>
    </row>
    <row r="715" spans="1:1" ht="12" customHeight="1" x14ac:dyDescent="0.2">
      <c r="A715" s="271"/>
    </row>
    <row r="716" spans="1:1" ht="12" customHeight="1" x14ac:dyDescent="0.2">
      <c r="A716" s="271"/>
    </row>
    <row r="717" spans="1:1" ht="12" customHeight="1" x14ac:dyDescent="0.2">
      <c r="A717" s="271"/>
    </row>
    <row r="718" spans="1:1" ht="12" customHeight="1" x14ac:dyDescent="0.2">
      <c r="A718" s="271"/>
    </row>
    <row r="719" spans="1:1" ht="12" customHeight="1" x14ac:dyDescent="0.2">
      <c r="A719" s="271"/>
    </row>
    <row r="720" spans="1:1" ht="12" customHeight="1" x14ac:dyDescent="0.2">
      <c r="A720" s="271"/>
    </row>
    <row r="721" spans="1:1" ht="12" customHeight="1" x14ac:dyDescent="0.2">
      <c r="A721" s="271"/>
    </row>
    <row r="722" spans="1:1" ht="12" customHeight="1" x14ac:dyDescent="0.2">
      <c r="A722" s="271"/>
    </row>
    <row r="723" spans="1:1" ht="12" customHeight="1" x14ac:dyDescent="0.2">
      <c r="A723" s="271"/>
    </row>
    <row r="724" spans="1:1" ht="12" customHeight="1" x14ac:dyDescent="0.2">
      <c r="A724" s="271"/>
    </row>
    <row r="725" spans="1:1" ht="12" customHeight="1" x14ac:dyDescent="0.2">
      <c r="A725" s="271"/>
    </row>
    <row r="726" spans="1:1" ht="12" customHeight="1" x14ac:dyDescent="0.2">
      <c r="A726" s="271"/>
    </row>
    <row r="727" spans="1:1" ht="12" customHeight="1" x14ac:dyDescent="0.2">
      <c r="A727" s="271"/>
    </row>
    <row r="728" spans="1:1" ht="12" customHeight="1" x14ac:dyDescent="0.2">
      <c r="A728" s="271"/>
    </row>
    <row r="729" spans="1:1" ht="12" customHeight="1" x14ac:dyDescent="0.2">
      <c r="A729" s="271"/>
    </row>
    <row r="730" spans="1:1" ht="12" customHeight="1" x14ac:dyDescent="0.2">
      <c r="A730" s="271"/>
    </row>
    <row r="731" spans="1:1" ht="12" customHeight="1" x14ac:dyDescent="0.2">
      <c r="A731" s="271"/>
    </row>
    <row r="732" spans="1:1" ht="12" customHeight="1" x14ac:dyDescent="0.2">
      <c r="A732" s="271"/>
    </row>
    <row r="733" spans="1:1" ht="12" customHeight="1" x14ac:dyDescent="0.2">
      <c r="A733" s="271"/>
    </row>
    <row r="734" spans="1:1" ht="12" customHeight="1" x14ac:dyDescent="0.2">
      <c r="A734" s="271"/>
    </row>
    <row r="735" spans="1:1" ht="12" customHeight="1" x14ac:dyDescent="0.2">
      <c r="A735" s="271"/>
    </row>
    <row r="736" spans="1:1" ht="12" customHeight="1" x14ac:dyDescent="0.2">
      <c r="A736" s="271"/>
    </row>
    <row r="737" spans="1:1" ht="12" customHeight="1" x14ac:dyDescent="0.2">
      <c r="A737" s="271"/>
    </row>
    <row r="738" spans="1:1" ht="12" customHeight="1" x14ac:dyDescent="0.2">
      <c r="A738" s="271"/>
    </row>
    <row r="739" spans="1:1" ht="12" customHeight="1" x14ac:dyDescent="0.2">
      <c r="A739" s="271"/>
    </row>
    <row r="740" spans="1:1" ht="12" customHeight="1" x14ac:dyDescent="0.2">
      <c r="A740" s="271"/>
    </row>
    <row r="741" spans="1:1" ht="12" customHeight="1" x14ac:dyDescent="0.2">
      <c r="A741" s="271"/>
    </row>
    <row r="742" spans="1:1" ht="12" customHeight="1" x14ac:dyDescent="0.2">
      <c r="A742" s="271"/>
    </row>
    <row r="743" spans="1:1" ht="12" customHeight="1" x14ac:dyDescent="0.2">
      <c r="A743" s="271"/>
    </row>
    <row r="744" spans="1:1" ht="12" customHeight="1" x14ac:dyDescent="0.2">
      <c r="A744" s="271"/>
    </row>
    <row r="745" spans="1:1" ht="12" customHeight="1" x14ac:dyDescent="0.2">
      <c r="A745" s="271"/>
    </row>
    <row r="746" spans="1:1" ht="12" customHeight="1" x14ac:dyDescent="0.2">
      <c r="A746" s="271"/>
    </row>
    <row r="747" spans="1:1" ht="12" customHeight="1" x14ac:dyDescent="0.2">
      <c r="A747" s="271"/>
    </row>
    <row r="748" spans="1:1" ht="12" customHeight="1" x14ac:dyDescent="0.2">
      <c r="A748" s="271"/>
    </row>
    <row r="749" spans="1:1" ht="12" customHeight="1" x14ac:dyDescent="0.2">
      <c r="A749" s="271"/>
    </row>
    <row r="750" spans="1:1" ht="12" customHeight="1" x14ac:dyDescent="0.2">
      <c r="A750" s="271"/>
    </row>
    <row r="751" spans="1:1" ht="12" customHeight="1" x14ac:dyDescent="0.2">
      <c r="A751" s="271"/>
    </row>
    <row r="752" spans="1:1" ht="12" customHeight="1" x14ac:dyDescent="0.2">
      <c r="A752" s="271"/>
    </row>
    <row r="753" spans="1:1" ht="12" customHeight="1" x14ac:dyDescent="0.2">
      <c r="A753" s="271"/>
    </row>
    <row r="754" spans="1:1" ht="12" customHeight="1" x14ac:dyDescent="0.2">
      <c r="A754" s="271"/>
    </row>
    <row r="755" spans="1:1" ht="12" customHeight="1" x14ac:dyDescent="0.2">
      <c r="A755" s="271"/>
    </row>
    <row r="756" spans="1:1" ht="12" customHeight="1" x14ac:dyDescent="0.2">
      <c r="A756" s="271"/>
    </row>
    <row r="757" spans="1:1" ht="12" customHeight="1" x14ac:dyDescent="0.2">
      <c r="A757" s="271"/>
    </row>
    <row r="758" spans="1:1" ht="12" customHeight="1" x14ac:dyDescent="0.2">
      <c r="A758" s="271"/>
    </row>
    <row r="759" spans="1:1" ht="12" customHeight="1" x14ac:dyDescent="0.2">
      <c r="A759" s="271"/>
    </row>
    <row r="760" spans="1:1" ht="12" customHeight="1" x14ac:dyDescent="0.2">
      <c r="A760" s="271"/>
    </row>
    <row r="761" spans="1:1" ht="12" customHeight="1" x14ac:dyDescent="0.2">
      <c r="A761" s="271"/>
    </row>
    <row r="762" spans="1:1" ht="12" customHeight="1" x14ac:dyDescent="0.2">
      <c r="A762" s="271"/>
    </row>
    <row r="763" spans="1:1" ht="12" customHeight="1" x14ac:dyDescent="0.2">
      <c r="A763" s="271"/>
    </row>
    <row r="764" spans="1:1" ht="12" customHeight="1" x14ac:dyDescent="0.2">
      <c r="A764" s="271"/>
    </row>
    <row r="765" spans="1:1" ht="12" customHeight="1" x14ac:dyDescent="0.2">
      <c r="A765" s="271"/>
    </row>
    <row r="766" spans="1:1" ht="12" customHeight="1" x14ac:dyDescent="0.2">
      <c r="A766" s="271"/>
    </row>
    <row r="767" spans="1:1" ht="12" customHeight="1" x14ac:dyDescent="0.2">
      <c r="A767" s="271"/>
    </row>
    <row r="768" spans="1:1" ht="12" customHeight="1" x14ac:dyDescent="0.2">
      <c r="A768" s="271"/>
    </row>
    <row r="769" spans="1:1" ht="12" customHeight="1" x14ac:dyDescent="0.2">
      <c r="A769" s="271"/>
    </row>
    <row r="770" spans="1:1" ht="12" customHeight="1" x14ac:dyDescent="0.2">
      <c r="A770" s="271"/>
    </row>
    <row r="771" spans="1:1" ht="12" customHeight="1" x14ac:dyDescent="0.2">
      <c r="A771" s="271"/>
    </row>
    <row r="772" spans="1:1" ht="12" customHeight="1" x14ac:dyDescent="0.2">
      <c r="A772" s="271"/>
    </row>
    <row r="773" spans="1:1" ht="12" customHeight="1" x14ac:dyDescent="0.2">
      <c r="A773" s="271"/>
    </row>
    <row r="774" spans="1:1" ht="12" customHeight="1" x14ac:dyDescent="0.2">
      <c r="A774" s="271"/>
    </row>
    <row r="775" spans="1:1" ht="12" customHeight="1" x14ac:dyDescent="0.2">
      <c r="A775" s="271"/>
    </row>
    <row r="776" spans="1:1" ht="12" customHeight="1" x14ac:dyDescent="0.2">
      <c r="A776" s="271"/>
    </row>
    <row r="777" spans="1:1" ht="12" customHeight="1" x14ac:dyDescent="0.2">
      <c r="A777" s="271"/>
    </row>
    <row r="778" spans="1:1" ht="12" customHeight="1" x14ac:dyDescent="0.2">
      <c r="A778" s="271"/>
    </row>
    <row r="779" spans="1:1" ht="12" customHeight="1" x14ac:dyDescent="0.2">
      <c r="A779" s="271"/>
    </row>
    <row r="780" spans="1:1" ht="12" customHeight="1" x14ac:dyDescent="0.2">
      <c r="A780" s="271"/>
    </row>
    <row r="781" spans="1:1" ht="12" customHeight="1" x14ac:dyDescent="0.2">
      <c r="A781" s="271"/>
    </row>
    <row r="782" spans="1:1" ht="12" customHeight="1" x14ac:dyDescent="0.2">
      <c r="A782" s="271"/>
    </row>
    <row r="783" spans="1:1" ht="12" customHeight="1" x14ac:dyDescent="0.2">
      <c r="A783" s="271"/>
    </row>
    <row r="784" spans="1:1" ht="12" customHeight="1" x14ac:dyDescent="0.2">
      <c r="A784" s="271"/>
    </row>
    <row r="785" spans="1:1" ht="12" customHeight="1" x14ac:dyDescent="0.2">
      <c r="A785" s="271"/>
    </row>
    <row r="786" spans="1:1" ht="12" customHeight="1" x14ac:dyDescent="0.2">
      <c r="A786" s="271"/>
    </row>
    <row r="787" spans="1:1" ht="12" customHeight="1" x14ac:dyDescent="0.2">
      <c r="A787" s="271"/>
    </row>
    <row r="788" spans="1:1" ht="12" customHeight="1" x14ac:dyDescent="0.2">
      <c r="A788" s="271"/>
    </row>
    <row r="789" spans="1:1" ht="12" customHeight="1" x14ac:dyDescent="0.2">
      <c r="A789" s="271"/>
    </row>
    <row r="790" spans="1:1" ht="12" customHeight="1" x14ac:dyDescent="0.2">
      <c r="A790" s="271"/>
    </row>
    <row r="791" spans="1:1" ht="12" customHeight="1" x14ac:dyDescent="0.2">
      <c r="A791" s="271"/>
    </row>
    <row r="792" spans="1:1" ht="12" customHeight="1" x14ac:dyDescent="0.2">
      <c r="A792" s="271"/>
    </row>
    <row r="793" spans="1:1" ht="12" customHeight="1" x14ac:dyDescent="0.2">
      <c r="A793" s="271"/>
    </row>
    <row r="794" spans="1:1" ht="12" customHeight="1" x14ac:dyDescent="0.2">
      <c r="A794" s="271"/>
    </row>
    <row r="795" spans="1:1" ht="12" customHeight="1" x14ac:dyDescent="0.2">
      <c r="A795" s="271"/>
    </row>
    <row r="796" spans="1:1" ht="12" customHeight="1" x14ac:dyDescent="0.2">
      <c r="A796" s="271"/>
    </row>
    <row r="797" spans="1:1" ht="12" customHeight="1" x14ac:dyDescent="0.2">
      <c r="A797" s="271"/>
    </row>
    <row r="798" spans="1:1" ht="12" customHeight="1" x14ac:dyDescent="0.2">
      <c r="A798" s="271"/>
    </row>
    <row r="799" spans="1:1" ht="12" customHeight="1" x14ac:dyDescent="0.2">
      <c r="A799" s="271"/>
    </row>
    <row r="800" spans="1:1" ht="12" customHeight="1" x14ac:dyDescent="0.2">
      <c r="A800" s="271"/>
    </row>
    <row r="801" spans="1:1" ht="12" customHeight="1" x14ac:dyDescent="0.2">
      <c r="A801" s="271"/>
    </row>
    <row r="802" spans="1:1" ht="12" customHeight="1" x14ac:dyDescent="0.2">
      <c r="A802" s="271"/>
    </row>
    <row r="803" spans="1:1" ht="12" customHeight="1" x14ac:dyDescent="0.2">
      <c r="A803" s="271"/>
    </row>
    <row r="804" spans="1:1" ht="12" customHeight="1" x14ac:dyDescent="0.2">
      <c r="A804" s="271"/>
    </row>
    <row r="805" spans="1:1" ht="12" customHeight="1" x14ac:dyDescent="0.2">
      <c r="A805" s="271"/>
    </row>
    <row r="806" spans="1:1" ht="12" customHeight="1" x14ac:dyDescent="0.2">
      <c r="A806" s="271"/>
    </row>
    <row r="807" spans="1:1" ht="12" customHeight="1" x14ac:dyDescent="0.2">
      <c r="A807" s="271"/>
    </row>
    <row r="808" spans="1:1" ht="12" customHeight="1" x14ac:dyDescent="0.2">
      <c r="A808" s="271"/>
    </row>
    <row r="809" spans="1:1" ht="12" customHeight="1" x14ac:dyDescent="0.2">
      <c r="A809" s="271"/>
    </row>
    <row r="810" spans="1:1" ht="12" customHeight="1" x14ac:dyDescent="0.2">
      <c r="A810" s="271"/>
    </row>
    <row r="811" spans="1:1" ht="12" customHeight="1" x14ac:dyDescent="0.2">
      <c r="A811" s="271"/>
    </row>
    <row r="812" spans="1:1" ht="12" customHeight="1" x14ac:dyDescent="0.2">
      <c r="A812" s="271"/>
    </row>
    <row r="813" spans="1:1" ht="12" customHeight="1" x14ac:dyDescent="0.2">
      <c r="A813" s="271"/>
    </row>
    <row r="814" spans="1:1" ht="12" customHeight="1" x14ac:dyDescent="0.2">
      <c r="A814" s="271"/>
    </row>
    <row r="815" spans="1:1" ht="12" customHeight="1" x14ac:dyDescent="0.2">
      <c r="A815" s="271"/>
    </row>
    <row r="816" spans="1:1" ht="12" customHeight="1" x14ac:dyDescent="0.2">
      <c r="A816" s="271"/>
    </row>
    <row r="817" spans="1:1" ht="12" customHeight="1" x14ac:dyDescent="0.2">
      <c r="A817" s="271"/>
    </row>
    <row r="818" spans="1:1" ht="12" customHeight="1" x14ac:dyDescent="0.2">
      <c r="A818" s="271"/>
    </row>
    <row r="819" spans="1:1" ht="12" customHeight="1" x14ac:dyDescent="0.2">
      <c r="A819" s="271"/>
    </row>
    <row r="820" spans="1:1" ht="12" customHeight="1" x14ac:dyDescent="0.2">
      <c r="A820" s="271"/>
    </row>
    <row r="821" spans="1:1" ht="12" customHeight="1" x14ac:dyDescent="0.2">
      <c r="A821" s="271"/>
    </row>
    <row r="822" spans="1:1" ht="12" customHeight="1" x14ac:dyDescent="0.2">
      <c r="A822" s="271"/>
    </row>
    <row r="823" spans="1:1" ht="12" customHeight="1" x14ac:dyDescent="0.2">
      <c r="A823" s="271"/>
    </row>
    <row r="824" spans="1:1" ht="12" customHeight="1" x14ac:dyDescent="0.2">
      <c r="A824" s="271"/>
    </row>
    <row r="825" spans="1:1" ht="12" customHeight="1" x14ac:dyDescent="0.2">
      <c r="A825" s="271"/>
    </row>
    <row r="826" spans="1:1" ht="12" customHeight="1" x14ac:dyDescent="0.2">
      <c r="A826" s="271"/>
    </row>
    <row r="827" spans="1:1" ht="12" customHeight="1" x14ac:dyDescent="0.2">
      <c r="A827" s="271"/>
    </row>
    <row r="828" spans="1:1" ht="12" customHeight="1" x14ac:dyDescent="0.2">
      <c r="A828" s="271"/>
    </row>
    <row r="829" spans="1:1" ht="12" customHeight="1" x14ac:dyDescent="0.2">
      <c r="A829" s="271"/>
    </row>
    <row r="830" spans="1:1" ht="12" customHeight="1" x14ac:dyDescent="0.2">
      <c r="A830" s="271"/>
    </row>
    <row r="831" spans="1:1" ht="12" customHeight="1" x14ac:dyDescent="0.2">
      <c r="A831" s="271"/>
    </row>
    <row r="832" spans="1:1" ht="12" customHeight="1" x14ac:dyDescent="0.2">
      <c r="A832" s="271"/>
    </row>
    <row r="833" spans="1:1" ht="12" customHeight="1" x14ac:dyDescent="0.2">
      <c r="A833" s="271"/>
    </row>
    <row r="834" spans="1:1" ht="12" customHeight="1" x14ac:dyDescent="0.2">
      <c r="A834" s="271"/>
    </row>
    <row r="835" spans="1:1" ht="12" customHeight="1" x14ac:dyDescent="0.2">
      <c r="A835" s="271"/>
    </row>
    <row r="836" spans="1:1" ht="12" customHeight="1" x14ac:dyDescent="0.2">
      <c r="A836" s="271"/>
    </row>
    <row r="837" spans="1:1" ht="12" customHeight="1" x14ac:dyDescent="0.2">
      <c r="A837" s="271"/>
    </row>
    <row r="838" spans="1:1" ht="12" customHeight="1" x14ac:dyDescent="0.2">
      <c r="A838" s="271"/>
    </row>
    <row r="839" spans="1:1" ht="12" customHeight="1" x14ac:dyDescent="0.2">
      <c r="A839" s="271"/>
    </row>
    <row r="840" spans="1:1" ht="12" customHeight="1" x14ac:dyDescent="0.2">
      <c r="A840" s="271"/>
    </row>
    <row r="841" spans="1:1" ht="12" customHeight="1" x14ac:dyDescent="0.2">
      <c r="A841" s="271"/>
    </row>
    <row r="842" spans="1:1" ht="12" customHeight="1" x14ac:dyDescent="0.2">
      <c r="A842" s="271"/>
    </row>
    <row r="843" spans="1:1" ht="12" customHeight="1" x14ac:dyDescent="0.2">
      <c r="A843" s="271"/>
    </row>
    <row r="844" spans="1:1" ht="12" customHeight="1" x14ac:dyDescent="0.2">
      <c r="A844" s="271"/>
    </row>
    <row r="845" spans="1:1" ht="12" customHeight="1" x14ac:dyDescent="0.2">
      <c r="A845" s="271"/>
    </row>
    <row r="846" spans="1:1" ht="12" customHeight="1" x14ac:dyDescent="0.2">
      <c r="A846" s="271"/>
    </row>
    <row r="847" spans="1:1" ht="12" customHeight="1" x14ac:dyDescent="0.2">
      <c r="A847" s="271"/>
    </row>
    <row r="848" spans="1:1" ht="12" customHeight="1" x14ac:dyDescent="0.2">
      <c r="A848" s="271"/>
    </row>
    <row r="849" spans="1:1" ht="12" customHeight="1" x14ac:dyDescent="0.2">
      <c r="A849" s="271"/>
    </row>
    <row r="850" spans="1:1" ht="12" customHeight="1" x14ac:dyDescent="0.2">
      <c r="A850" s="271"/>
    </row>
    <row r="851" spans="1:1" ht="12" customHeight="1" x14ac:dyDescent="0.2">
      <c r="A851" s="271"/>
    </row>
    <row r="852" spans="1:1" ht="12" customHeight="1" x14ac:dyDescent="0.2">
      <c r="A852" s="271"/>
    </row>
    <row r="853" spans="1:1" ht="12" customHeight="1" x14ac:dyDescent="0.2">
      <c r="A853" s="271"/>
    </row>
    <row r="854" spans="1:1" ht="12" customHeight="1" x14ac:dyDescent="0.2">
      <c r="A854" s="271"/>
    </row>
    <row r="855" spans="1:1" ht="12" customHeight="1" x14ac:dyDescent="0.2">
      <c r="A855" s="271"/>
    </row>
    <row r="856" spans="1:1" ht="12" customHeight="1" x14ac:dyDescent="0.2">
      <c r="A856" s="271"/>
    </row>
    <row r="857" spans="1:1" ht="12" customHeight="1" x14ac:dyDescent="0.2">
      <c r="A857" s="271"/>
    </row>
    <row r="858" spans="1:1" ht="12" customHeight="1" x14ac:dyDescent="0.2">
      <c r="A858" s="271"/>
    </row>
    <row r="859" spans="1:1" ht="12" customHeight="1" x14ac:dyDescent="0.2">
      <c r="A859" s="271"/>
    </row>
    <row r="860" spans="1:1" ht="12" customHeight="1" x14ac:dyDescent="0.2">
      <c r="A860" s="271"/>
    </row>
    <row r="861" spans="1:1" ht="12" customHeight="1" x14ac:dyDescent="0.2">
      <c r="A861" s="271"/>
    </row>
    <row r="862" spans="1:1" ht="12" customHeight="1" x14ac:dyDescent="0.2">
      <c r="A862" s="271"/>
    </row>
    <row r="863" spans="1:1" ht="12" customHeight="1" x14ac:dyDescent="0.2">
      <c r="A863" s="271"/>
    </row>
    <row r="864" spans="1:1" ht="12" customHeight="1" x14ac:dyDescent="0.2">
      <c r="A864" s="271"/>
    </row>
    <row r="865" spans="1:1" ht="12" customHeight="1" x14ac:dyDescent="0.2">
      <c r="A865" s="271"/>
    </row>
    <row r="866" spans="1:1" ht="12" customHeight="1" x14ac:dyDescent="0.2">
      <c r="A866" s="271"/>
    </row>
    <row r="867" spans="1:1" ht="12" customHeight="1" x14ac:dyDescent="0.2">
      <c r="A867" s="271"/>
    </row>
    <row r="868" spans="1:1" ht="12" customHeight="1" x14ac:dyDescent="0.2">
      <c r="A868" s="271"/>
    </row>
    <row r="869" spans="1:1" ht="12" customHeight="1" x14ac:dyDescent="0.2">
      <c r="A869" s="271"/>
    </row>
    <row r="870" spans="1:1" ht="12" customHeight="1" x14ac:dyDescent="0.2">
      <c r="A870" s="271"/>
    </row>
    <row r="871" spans="1:1" ht="12" customHeight="1" x14ac:dyDescent="0.2">
      <c r="A871" s="271"/>
    </row>
    <row r="872" spans="1:1" ht="12" customHeight="1" x14ac:dyDescent="0.2">
      <c r="A872" s="271"/>
    </row>
    <row r="873" spans="1:1" ht="12" customHeight="1" x14ac:dyDescent="0.2">
      <c r="A873" s="271"/>
    </row>
    <row r="874" spans="1:1" ht="12" customHeight="1" x14ac:dyDescent="0.2">
      <c r="A874" s="271"/>
    </row>
    <row r="875" spans="1:1" ht="12" customHeight="1" x14ac:dyDescent="0.2">
      <c r="A875" s="271"/>
    </row>
    <row r="876" spans="1:1" ht="12" customHeight="1" x14ac:dyDescent="0.2">
      <c r="A876" s="271"/>
    </row>
    <row r="877" spans="1:1" ht="12" customHeight="1" x14ac:dyDescent="0.2">
      <c r="A877" s="271"/>
    </row>
    <row r="878" spans="1:1" ht="12" customHeight="1" x14ac:dyDescent="0.2">
      <c r="A878" s="271"/>
    </row>
    <row r="879" spans="1:1" ht="12" customHeight="1" x14ac:dyDescent="0.2">
      <c r="A879" s="271"/>
    </row>
    <row r="880" spans="1:1" ht="12" customHeight="1" x14ac:dyDescent="0.2">
      <c r="A880" s="271"/>
    </row>
    <row r="881" spans="1:1" ht="12" customHeight="1" x14ac:dyDescent="0.2">
      <c r="A881" s="271"/>
    </row>
    <row r="882" spans="1:1" ht="12" customHeight="1" x14ac:dyDescent="0.2">
      <c r="A882" s="271"/>
    </row>
    <row r="883" spans="1:1" ht="12" customHeight="1" x14ac:dyDescent="0.2">
      <c r="A883" s="271"/>
    </row>
    <row r="884" spans="1:1" ht="12" customHeight="1" x14ac:dyDescent="0.2">
      <c r="A884" s="271"/>
    </row>
    <row r="885" spans="1:1" ht="12" customHeight="1" x14ac:dyDescent="0.2">
      <c r="A885" s="271"/>
    </row>
    <row r="886" spans="1:1" ht="12" customHeight="1" x14ac:dyDescent="0.2">
      <c r="A886" s="271"/>
    </row>
    <row r="887" spans="1:1" ht="12" customHeight="1" x14ac:dyDescent="0.2">
      <c r="A887" s="271"/>
    </row>
    <row r="888" spans="1:1" ht="12" customHeight="1" x14ac:dyDescent="0.2">
      <c r="A888" s="271"/>
    </row>
    <row r="889" spans="1:1" ht="12" customHeight="1" x14ac:dyDescent="0.2">
      <c r="A889" s="271"/>
    </row>
    <row r="890" spans="1:1" ht="12" customHeight="1" x14ac:dyDescent="0.2">
      <c r="A890" s="271"/>
    </row>
    <row r="891" spans="1:1" ht="12" customHeight="1" x14ac:dyDescent="0.2">
      <c r="A891" s="271"/>
    </row>
    <row r="892" spans="1:1" ht="12" customHeight="1" x14ac:dyDescent="0.2">
      <c r="A892" s="271"/>
    </row>
    <row r="893" spans="1:1" ht="12" customHeight="1" x14ac:dyDescent="0.2">
      <c r="A893" s="271"/>
    </row>
    <row r="894" spans="1:1" ht="12" customHeight="1" x14ac:dyDescent="0.2">
      <c r="A894" s="271"/>
    </row>
    <row r="895" spans="1:1" ht="12" customHeight="1" x14ac:dyDescent="0.2">
      <c r="A895" s="271"/>
    </row>
    <row r="896" spans="1:1" ht="12" customHeight="1" x14ac:dyDescent="0.2">
      <c r="A896" s="271"/>
    </row>
    <row r="897" spans="1:1" ht="12" customHeight="1" x14ac:dyDescent="0.2">
      <c r="A897" s="271"/>
    </row>
    <row r="898" spans="1:1" ht="12" customHeight="1" x14ac:dyDescent="0.2">
      <c r="A898" s="271"/>
    </row>
    <row r="899" spans="1:1" ht="12" customHeight="1" x14ac:dyDescent="0.2">
      <c r="A899" s="271"/>
    </row>
    <row r="900" spans="1:1" ht="12" customHeight="1" x14ac:dyDescent="0.2">
      <c r="A900" s="271"/>
    </row>
    <row r="901" spans="1:1" ht="12" customHeight="1" x14ac:dyDescent="0.2">
      <c r="A901" s="271"/>
    </row>
    <row r="902" spans="1:1" ht="12" customHeight="1" x14ac:dyDescent="0.2">
      <c r="A902" s="271"/>
    </row>
    <row r="903" spans="1:1" ht="12" customHeight="1" x14ac:dyDescent="0.2">
      <c r="A903" s="271"/>
    </row>
    <row r="904" spans="1:1" ht="12" customHeight="1" x14ac:dyDescent="0.2">
      <c r="A904" s="271"/>
    </row>
    <row r="905" spans="1:1" ht="12" customHeight="1" x14ac:dyDescent="0.2">
      <c r="A905" s="271"/>
    </row>
    <row r="906" spans="1:1" ht="12" customHeight="1" x14ac:dyDescent="0.2">
      <c r="A906" s="271"/>
    </row>
    <row r="907" spans="1:1" ht="12" customHeight="1" x14ac:dyDescent="0.2">
      <c r="A907" s="271"/>
    </row>
    <row r="908" spans="1:1" ht="12" customHeight="1" x14ac:dyDescent="0.2">
      <c r="A908" s="271"/>
    </row>
    <row r="909" spans="1:1" ht="12" customHeight="1" x14ac:dyDescent="0.2">
      <c r="A909" s="271"/>
    </row>
    <row r="910" spans="1:1" ht="12" customHeight="1" x14ac:dyDescent="0.2">
      <c r="A910" s="271"/>
    </row>
    <row r="911" spans="1:1" ht="12" customHeight="1" x14ac:dyDescent="0.2">
      <c r="A911" s="271"/>
    </row>
    <row r="912" spans="1:1" ht="12" customHeight="1" x14ac:dyDescent="0.2">
      <c r="A912" s="271"/>
    </row>
    <row r="913" spans="1:1" ht="12" customHeight="1" x14ac:dyDescent="0.2">
      <c r="A913" s="271"/>
    </row>
    <row r="914" spans="1:1" ht="12" customHeight="1" x14ac:dyDescent="0.2">
      <c r="A914" s="271"/>
    </row>
    <row r="915" spans="1:1" ht="12" customHeight="1" x14ac:dyDescent="0.2">
      <c r="A915" s="271"/>
    </row>
    <row r="916" spans="1:1" ht="12" customHeight="1" x14ac:dyDescent="0.2">
      <c r="A916" s="271"/>
    </row>
    <row r="917" spans="1:1" ht="12" customHeight="1" x14ac:dyDescent="0.2">
      <c r="A917" s="271"/>
    </row>
    <row r="918" spans="1:1" ht="12" customHeight="1" x14ac:dyDescent="0.2">
      <c r="A918" s="271"/>
    </row>
    <row r="919" spans="1:1" ht="12" customHeight="1" x14ac:dyDescent="0.2">
      <c r="A919" s="271"/>
    </row>
    <row r="920" spans="1:1" ht="12" customHeight="1" x14ac:dyDescent="0.2">
      <c r="A920" s="271"/>
    </row>
    <row r="921" spans="1:1" ht="12" customHeight="1" x14ac:dyDescent="0.2">
      <c r="A921" s="271"/>
    </row>
    <row r="922" spans="1:1" ht="12" customHeight="1" x14ac:dyDescent="0.2">
      <c r="A922" s="271"/>
    </row>
    <row r="923" spans="1:1" ht="12" customHeight="1" x14ac:dyDescent="0.2">
      <c r="A923" s="271"/>
    </row>
    <row r="924" spans="1:1" ht="12" customHeight="1" x14ac:dyDescent="0.2">
      <c r="A924" s="271"/>
    </row>
    <row r="925" spans="1:1" ht="12" customHeight="1" x14ac:dyDescent="0.2">
      <c r="A925" s="271"/>
    </row>
    <row r="926" spans="1:1" ht="12" customHeight="1" x14ac:dyDescent="0.2">
      <c r="A926" s="271"/>
    </row>
    <row r="927" spans="1:1" ht="12" customHeight="1" x14ac:dyDescent="0.2">
      <c r="A927" s="271"/>
    </row>
    <row r="928" spans="1:1" ht="12" customHeight="1" x14ac:dyDescent="0.2">
      <c r="A928" s="271"/>
    </row>
    <row r="929" spans="1:1" ht="12" customHeight="1" x14ac:dyDescent="0.2">
      <c r="A929" s="271"/>
    </row>
    <row r="930" spans="1:1" ht="12" customHeight="1" x14ac:dyDescent="0.2">
      <c r="A930" s="271"/>
    </row>
    <row r="931" spans="1:1" ht="12" customHeight="1" x14ac:dyDescent="0.2">
      <c r="A931" s="271"/>
    </row>
    <row r="932" spans="1:1" ht="12" customHeight="1" x14ac:dyDescent="0.2">
      <c r="A932" s="271"/>
    </row>
    <row r="933" spans="1:1" ht="12" customHeight="1" x14ac:dyDescent="0.2">
      <c r="A933" s="271"/>
    </row>
    <row r="934" spans="1:1" ht="12" customHeight="1" x14ac:dyDescent="0.2">
      <c r="A934" s="271"/>
    </row>
    <row r="935" spans="1:1" ht="12" customHeight="1" x14ac:dyDescent="0.2">
      <c r="A935" s="271"/>
    </row>
    <row r="936" spans="1:1" ht="12" customHeight="1" x14ac:dyDescent="0.2">
      <c r="A936" s="271"/>
    </row>
    <row r="937" spans="1:1" ht="12" customHeight="1" x14ac:dyDescent="0.2">
      <c r="A937" s="271"/>
    </row>
    <row r="938" spans="1:1" ht="12" customHeight="1" x14ac:dyDescent="0.2">
      <c r="A938" s="271"/>
    </row>
    <row r="939" spans="1:1" ht="12" customHeight="1" x14ac:dyDescent="0.2">
      <c r="A939" s="271"/>
    </row>
    <row r="940" spans="1:1" ht="12" customHeight="1" x14ac:dyDescent="0.2">
      <c r="A940" s="271"/>
    </row>
    <row r="941" spans="1:1" ht="12" customHeight="1" x14ac:dyDescent="0.2">
      <c r="A941" s="271"/>
    </row>
    <row r="942" spans="1:1" ht="12" customHeight="1" x14ac:dyDescent="0.2">
      <c r="A942" s="271"/>
    </row>
    <row r="943" spans="1:1" ht="12" customHeight="1" x14ac:dyDescent="0.2">
      <c r="A943" s="271"/>
    </row>
    <row r="944" spans="1:1" ht="12" customHeight="1" x14ac:dyDescent="0.2">
      <c r="A944" s="271"/>
    </row>
    <row r="945" spans="1:1" ht="12" customHeight="1" x14ac:dyDescent="0.2">
      <c r="A945" s="271"/>
    </row>
    <row r="946" spans="1:1" ht="12" customHeight="1" x14ac:dyDescent="0.2">
      <c r="A946" s="271"/>
    </row>
    <row r="947" spans="1:1" ht="12" customHeight="1" x14ac:dyDescent="0.2">
      <c r="A947" s="271"/>
    </row>
    <row r="948" spans="1:1" ht="12" customHeight="1" x14ac:dyDescent="0.2">
      <c r="A948" s="271"/>
    </row>
    <row r="949" spans="1:1" ht="12" customHeight="1" x14ac:dyDescent="0.2">
      <c r="A949" s="271"/>
    </row>
    <row r="950" spans="1:1" ht="12" customHeight="1" x14ac:dyDescent="0.2">
      <c r="A950" s="271"/>
    </row>
    <row r="951" spans="1:1" ht="12" customHeight="1" x14ac:dyDescent="0.2">
      <c r="A951" s="271"/>
    </row>
    <row r="952" spans="1:1" ht="12" customHeight="1" x14ac:dyDescent="0.2">
      <c r="A952" s="271"/>
    </row>
    <row r="953" spans="1:1" ht="12" customHeight="1" x14ac:dyDescent="0.2">
      <c r="A953" s="271"/>
    </row>
    <row r="954" spans="1:1" ht="12" customHeight="1" x14ac:dyDescent="0.2">
      <c r="A954" s="271"/>
    </row>
    <row r="955" spans="1:1" ht="12" customHeight="1" x14ac:dyDescent="0.2">
      <c r="A955" s="271"/>
    </row>
    <row r="956" spans="1:1" ht="12" customHeight="1" x14ac:dyDescent="0.2">
      <c r="A956" s="271"/>
    </row>
    <row r="957" spans="1:1" ht="12" customHeight="1" x14ac:dyDescent="0.2">
      <c r="A957" s="271"/>
    </row>
    <row r="958" spans="1:1" ht="12" customHeight="1" x14ac:dyDescent="0.2">
      <c r="A958" s="271"/>
    </row>
    <row r="959" spans="1:1" ht="12" customHeight="1" x14ac:dyDescent="0.2">
      <c r="A959" s="271"/>
    </row>
    <row r="960" spans="1:1" ht="12" customHeight="1" x14ac:dyDescent="0.2">
      <c r="A960" s="271"/>
    </row>
    <row r="961" spans="1:1" ht="12" customHeight="1" x14ac:dyDescent="0.2">
      <c r="A961" s="271"/>
    </row>
    <row r="962" spans="1:1" ht="12" customHeight="1" x14ac:dyDescent="0.2">
      <c r="A962" s="271"/>
    </row>
    <row r="963" spans="1:1" ht="12" customHeight="1" x14ac:dyDescent="0.2">
      <c r="A963" s="271"/>
    </row>
    <row r="964" spans="1:1" ht="12" customHeight="1" x14ac:dyDescent="0.2">
      <c r="A964" s="271"/>
    </row>
    <row r="965" spans="1:1" ht="12" customHeight="1" x14ac:dyDescent="0.2">
      <c r="A965" s="271"/>
    </row>
    <row r="966" spans="1:1" ht="12" customHeight="1" x14ac:dyDescent="0.2">
      <c r="A966" s="271"/>
    </row>
    <row r="967" spans="1:1" ht="12" customHeight="1" x14ac:dyDescent="0.2">
      <c r="A967" s="271"/>
    </row>
    <row r="968" spans="1:1" ht="12" customHeight="1" x14ac:dyDescent="0.2">
      <c r="A968" s="271"/>
    </row>
    <row r="969" spans="1:1" ht="12" customHeight="1" x14ac:dyDescent="0.2">
      <c r="A969" s="271"/>
    </row>
    <row r="970" spans="1:1" ht="12" customHeight="1" x14ac:dyDescent="0.2">
      <c r="A970" s="271"/>
    </row>
    <row r="971" spans="1:1" ht="12" customHeight="1" x14ac:dyDescent="0.2">
      <c r="A971" s="271"/>
    </row>
    <row r="972" spans="1:1" ht="12" customHeight="1" x14ac:dyDescent="0.2">
      <c r="A972" s="271"/>
    </row>
    <row r="973" spans="1:1" ht="12" customHeight="1" x14ac:dyDescent="0.2">
      <c r="A973" s="271"/>
    </row>
    <row r="974" spans="1:1" ht="12" customHeight="1" x14ac:dyDescent="0.2">
      <c r="A974" s="271"/>
    </row>
    <row r="975" spans="1:1" ht="12" customHeight="1" x14ac:dyDescent="0.2">
      <c r="A975" s="271"/>
    </row>
    <row r="976" spans="1:1" ht="12" customHeight="1" x14ac:dyDescent="0.2">
      <c r="A976" s="271"/>
    </row>
    <row r="977" spans="1:1" ht="12" customHeight="1" x14ac:dyDescent="0.2">
      <c r="A977" s="271"/>
    </row>
    <row r="978" spans="1:1" ht="12" customHeight="1" x14ac:dyDescent="0.2">
      <c r="A978" s="271"/>
    </row>
    <row r="979" spans="1:1" ht="12" customHeight="1" x14ac:dyDescent="0.2">
      <c r="A979" s="271"/>
    </row>
    <row r="980" spans="1:1" ht="12" customHeight="1" x14ac:dyDescent="0.2">
      <c r="A980" s="271"/>
    </row>
    <row r="981" spans="1:1" ht="12" customHeight="1" x14ac:dyDescent="0.2">
      <c r="A981" s="271"/>
    </row>
    <row r="982" spans="1:1" ht="12" customHeight="1" x14ac:dyDescent="0.2">
      <c r="A982" s="271"/>
    </row>
    <row r="983" spans="1:1" ht="12" customHeight="1" x14ac:dyDescent="0.2">
      <c r="A983" s="271"/>
    </row>
    <row r="984" spans="1:1" ht="12" customHeight="1" x14ac:dyDescent="0.2">
      <c r="A984" s="271"/>
    </row>
    <row r="985" spans="1:1" ht="12" customHeight="1" x14ac:dyDescent="0.2">
      <c r="A985" s="271"/>
    </row>
    <row r="986" spans="1:1" ht="12" customHeight="1" x14ac:dyDescent="0.2">
      <c r="A986" s="271"/>
    </row>
    <row r="987" spans="1:1" ht="12" customHeight="1" x14ac:dyDescent="0.2">
      <c r="A987" s="271"/>
    </row>
    <row r="988" spans="1:1" ht="12" customHeight="1" x14ac:dyDescent="0.2">
      <c r="A988" s="271"/>
    </row>
    <row r="989" spans="1:1" ht="12" customHeight="1" x14ac:dyDescent="0.2">
      <c r="A989" s="271"/>
    </row>
    <row r="990" spans="1:1" ht="12" customHeight="1" x14ac:dyDescent="0.2">
      <c r="A990" s="271"/>
    </row>
    <row r="991" spans="1:1" ht="12" customHeight="1" x14ac:dyDescent="0.2">
      <c r="A991" s="271"/>
    </row>
    <row r="992" spans="1:1" ht="12" customHeight="1" x14ac:dyDescent="0.2">
      <c r="A992" s="271"/>
    </row>
    <row r="993" spans="1:1" ht="12" customHeight="1" x14ac:dyDescent="0.2">
      <c r="A993" s="271"/>
    </row>
    <row r="994" spans="1:1" ht="12" customHeight="1" x14ac:dyDescent="0.2">
      <c r="A994" s="271"/>
    </row>
    <row r="995" spans="1:1" ht="12" customHeight="1" x14ac:dyDescent="0.2">
      <c r="A995" s="271"/>
    </row>
    <row r="996" spans="1:1" ht="12" customHeight="1" x14ac:dyDescent="0.2">
      <c r="A996" s="271"/>
    </row>
    <row r="997" spans="1:1" ht="12" customHeight="1" x14ac:dyDescent="0.2">
      <c r="A997" s="271"/>
    </row>
    <row r="998" spans="1:1" ht="12" customHeight="1" x14ac:dyDescent="0.2">
      <c r="A998" s="271"/>
    </row>
    <row r="999" spans="1:1" ht="12" customHeight="1" x14ac:dyDescent="0.2">
      <c r="A999" s="271"/>
    </row>
    <row r="1000" spans="1:1" ht="12" customHeight="1" x14ac:dyDescent="0.2">
      <c r="A1000" s="271"/>
    </row>
    <row r="1001" spans="1:1" ht="12" customHeight="1" x14ac:dyDescent="0.2">
      <c r="A1001" s="271"/>
    </row>
    <row r="1002" spans="1:1" ht="12" customHeight="1" x14ac:dyDescent="0.2">
      <c r="A1002" s="271"/>
    </row>
  </sheetData>
  <mergeCells count="11">
    <mergeCell ref="D14:M14"/>
    <mergeCell ref="D15:D16"/>
    <mergeCell ref="E15:E16"/>
    <mergeCell ref="G15:G16"/>
    <mergeCell ref="H15:H16"/>
    <mergeCell ref="I15:I16"/>
    <mergeCell ref="J15:J16"/>
    <mergeCell ref="K15:K16"/>
    <mergeCell ref="L15:L16"/>
    <mergeCell ref="M15:M16"/>
    <mergeCell ref="F15:F16"/>
  </mergeCells>
  <phoneticPr fontId="59" type="noConversion"/>
  <hyperlinks>
    <hyperlink ref="A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R112"/>
  <sheetViews>
    <sheetView showGridLines="0" topLeftCell="A9" workbookViewId="0">
      <selection activeCell="F15" sqref="F15"/>
    </sheetView>
  </sheetViews>
  <sheetFormatPr baseColWidth="10" defaultColWidth="8.83203125" defaultRowHeight="16" x14ac:dyDescent="0.2"/>
  <cols>
    <col min="1" max="1" width="8.83203125" style="745"/>
    <col min="2" max="2" width="14.6640625" style="745" bestFit="1" customWidth="1"/>
    <col min="3" max="3" width="10.1640625" style="745" bestFit="1" customWidth="1"/>
    <col min="4" max="7" width="8.83203125" style="745"/>
    <col min="8" max="8" width="14.6640625" style="745" bestFit="1" customWidth="1"/>
    <col min="9" max="9" width="10" style="745" customWidth="1"/>
    <col min="10" max="10" width="20.6640625" style="745" bestFit="1" customWidth="1"/>
    <col min="11" max="11" width="8.83203125" style="745"/>
    <col min="12" max="12" width="14.1640625" style="745" bestFit="1" customWidth="1"/>
    <col min="13" max="14" width="9.5" style="745" bestFit="1" customWidth="1"/>
    <col min="15" max="16" width="8.83203125" style="745"/>
    <col min="17" max="18" width="9.1640625" style="745" customWidth="1"/>
    <col min="19" max="16384" width="8.83203125" style="745"/>
  </cols>
  <sheetData>
    <row r="1" spans="1:18" x14ac:dyDescent="0.2">
      <c r="A1" s="1771" t="s">
        <v>38</v>
      </c>
    </row>
    <row r="2" spans="1:18" x14ac:dyDescent="0.2">
      <c r="B2" s="2013" t="s">
        <v>188</v>
      </c>
      <c r="C2" s="1248" t="s">
        <v>79</v>
      </c>
      <c r="E2" s="844" t="s">
        <v>647</v>
      </c>
      <c r="F2" s="1079">
        <v>0.02</v>
      </c>
      <c r="H2" s="1510" t="s">
        <v>648</v>
      </c>
      <c r="I2" s="2013" t="s">
        <v>649</v>
      </c>
      <c r="J2" s="1248" t="s">
        <v>80</v>
      </c>
      <c r="L2" s="1497" t="s">
        <v>650</v>
      </c>
      <c r="M2" s="2072" t="s">
        <v>188</v>
      </c>
      <c r="N2" s="2072" t="s">
        <v>71</v>
      </c>
      <c r="O2" s="2072" t="s">
        <v>72</v>
      </c>
      <c r="P2" s="2072" t="s">
        <v>73</v>
      </c>
      <c r="Q2" s="2072" t="s">
        <v>74</v>
      </c>
      <c r="R2" s="1248" t="s">
        <v>75</v>
      </c>
    </row>
    <row r="3" spans="1:18" x14ac:dyDescent="0.2">
      <c r="B3" s="1080" t="s">
        <v>95</v>
      </c>
      <c r="C3" s="1427">
        <f>I3*M3</f>
        <v>714.89</v>
      </c>
      <c r="H3" s="1081" t="s">
        <v>95</v>
      </c>
      <c r="I3" s="1429">
        <v>64.989999999999995</v>
      </c>
      <c r="J3" s="1082" t="s">
        <v>651</v>
      </c>
      <c r="L3" s="1083" t="s">
        <v>652</v>
      </c>
      <c r="M3" s="1084">
        <f>Salaries!C213</f>
        <v>11</v>
      </c>
      <c r="N3" s="1084">
        <f>Salaries!D213</f>
        <v>14</v>
      </c>
      <c r="O3" s="1084">
        <f>Salaries!E213</f>
        <v>15</v>
      </c>
      <c r="P3" s="1084">
        <f>Salaries!F213</f>
        <v>21</v>
      </c>
      <c r="Q3" s="1084">
        <f>Salaries!G213</f>
        <v>25</v>
      </c>
      <c r="R3" s="1085">
        <f>Salaries!H213</f>
        <v>25</v>
      </c>
    </row>
    <row r="4" spans="1:18" x14ac:dyDescent="0.2">
      <c r="B4" s="1080" t="s">
        <v>653</v>
      </c>
      <c r="C4" s="1427">
        <f t="shared" ref="C4:C16" si="0">I4*M4</f>
        <v>1068.21</v>
      </c>
      <c r="H4" s="1081" t="s">
        <v>653</v>
      </c>
      <c r="I4" s="1430">
        <v>97.11</v>
      </c>
      <c r="J4" s="1086" t="s">
        <v>654</v>
      </c>
      <c r="L4" s="1087" t="s">
        <v>653</v>
      </c>
      <c r="M4" s="1088">
        <f>Salaries!C213</f>
        <v>11</v>
      </c>
      <c r="N4" s="1088">
        <f>Salaries!D213</f>
        <v>14</v>
      </c>
      <c r="O4" s="1088">
        <f>Salaries!E213</f>
        <v>15</v>
      </c>
      <c r="P4" s="1088">
        <f>Salaries!F213</f>
        <v>21</v>
      </c>
      <c r="Q4" s="1088">
        <f>Salaries!G213</f>
        <v>25</v>
      </c>
      <c r="R4" s="1089">
        <f>Salaries!H213</f>
        <v>25</v>
      </c>
    </row>
    <row r="5" spans="1:18" x14ac:dyDescent="0.2">
      <c r="B5" s="1080" t="s">
        <v>655</v>
      </c>
      <c r="C5" s="1427">
        <f t="shared" si="0"/>
        <v>241.89</v>
      </c>
      <c r="H5" s="1081" t="s">
        <v>655</v>
      </c>
      <c r="I5" s="1430">
        <v>21.99</v>
      </c>
      <c r="J5" s="1086" t="s">
        <v>656</v>
      </c>
      <c r="L5" s="1087" t="s">
        <v>655</v>
      </c>
      <c r="M5" s="1088">
        <f>M4</f>
        <v>11</v>
      </c>
      <c r="N5" s="1088">
        <f t="shared" ref="N5:R5" si="1">N4</f>
        <v>14</v>
      </c>
      <c r="O5" s="1088">
        <f t="shared" si="1"/>
        <v>15</v>
      </c>
      <c r="P5" s="1088">
        <f t="shared" si="1"/>
        <v>21</v>
      </c>
      <c r="Q5" s="1088">
        <f t="shared" si="1"/>
        <v>25</v>
      </c>
      <c r="R5" s="1089">
        <f t="shared" si="1"/>
        <v>25</v>
      </c>
    </row>
    <row r="6" spans="1:18" x14ac:dyDescent="0.2">
      <c r="B6" s="1080" t="s">
        <v>657</v>
      </c>
      <c r="C6" s="1427">
        <f t="shared" si="0"/>
        <v>2100.8900000000003</v>
      </c>
      <c r="H6" s="1081" t="s">
        <v>657</v>
      </c>
      <c r="I6" s="1430">
        <v>190.99</v>
      </c>
      <c r="J6" s="1086" t="s">
        <v>658</v>
      </c>
      <c r="L6" s="1087" t="s">
        <v>657</v>
      </c>
      <c r="M6" s="1088">
        <f>Salaries!C213</f>
        <v>11</v>
      </c>
      <c r="N6" s="1088">
        <f>Salaries!D213</f>
        <v>14</v>
      </c>
      <c r="O6" s="1088">
        <f>Salaries!E213</f>
        <v>15</v>
      </c>
      <c r="P6" s="1088">
        <f>Salaries!F213</f>
        <v>21</v>
      </c>
      <c r="Q6" s="1088">
        <f>Salaries!G213</f>
        <v>25</v>
      </c>
      <c r="R6" s="1089">
        <f>Salaries!H213</f>
        <v>25</v>
      </c>
    </row>
    <row r="7" spans="1:18" x14ac:dyDescent="0.2">
      <c r="B7" s="1080" t="s">
        <v>659</v>
      </c>
      <c r="C7" s="1427">
        <f t="shared" si="0"/>
        <v>325.05</v>
      </c>
      <c r="H7" s="1081" t="s">
        <v>659</v>
      </c>
      <c r="I7" s="1430">
        <v>29.55</v>
      </c>
      <c r="J7" s="1086" t="s">
        <v>660</v>
      </c>
      <c r="L7" s="1087" t="s">
        <v>659</v>
      </c>
      <c r="M7" s="1088">
        <f>M4</f>
        <v>11</v>
      </c>
      <c r="N7" s="1088">
        <f t="shared" ref="N7:R7" si="2">N4</f>
        <v>14</v>
      </c>
      <c r="O7" s="1088">
        <f t="shared" si="2"/>
        <v>15</v>
      </c>
      <c r="P7" s="1088">
        <f t="shared" si="2"/>
        <v>21</v>
      </c>
      <c r="Q7" s="1088">
        <f t="shared" si="2"/>
        <v>25</v>
      </c>
      <c r="R7" s="1089">
        <f t="shared" si="2"/>
        <v>25</v>
      </c>
    </row>
    <row r="8" spans="1:18" ht="15.75" customHeight="1" x14ac:dyDescent="0.2">
      <c r="B8" s="1080" t="s">
        <v>661</v>
      </c>
      <c r="C8" s="1427">
        <f t="shared" si="0"/>
        <v>119.96</v>
      </c>
      <c r="H8" s="1081" t="s">
        <v>661</v>
      </c>
      <c r="I8" s="1430">
        <v>29.99</v>
      </c>
      <c r="J8" s="1086" t="s">
        <v>662</v>
      </c>
      <c r="L8" s="1087" t="s">
        <v>661</v>
      </c>
      <c r="M8" s="1090">
        <f>SUM(Salaries!C194:'Salaries'!C197)</f>
        <v>4</v>
      </c>
      <c r="N8" s="1088">
        <f>SUM(Salaries!D194:'Salaries'!D197)</f>
        <v>4</v>
      </c>
      <c r="O8" s="1088">
        <f>SUM(Salaries!E194:'Salaries'!E197)</f>
        <v>4</v>
      </c>
      <c r="P8" s="1088">
        <f>SUM(Salaries!F194:'Salaries'!F197)</f>
        <v>4</v>
      </c>
      <c r="Q8" s="1088">
        <f>SUM(Salaries!G194:'Salaries'!G197)</f>
        <v>4</v>
      </c>
      <c r="R8" s="1089">
        <f>SUM(Salaries!H194:'Salaries'!H197)</f>
        <v>4</v>
      </c>
    </row>
    <row r="9" spans="1:18" x14ac:dyDescent="0.2">
      <c r="B9" s="1080" t="s">
        <v>663</v>
      </c>
      <c r="C9" s="1427">
        <f t="shared" si="0"/>
        <v>896.28</v>
      </c>
      <c r="H9" s="1081" t="s">
        <v>663</v>
      </c>
      <c r="I9" s="1430">
        <v>448.14</v>
      </c>
      <c r="J9" s="1086" t="s">
        <v>664</v>
      </c>
      <c r="L9" s="1087" t="s">
        <v>663</v>
      </c>
      <c r="M9" s="1088">
        <v>2</v>
      </c>
      <c r="N9" s="1088">
        <f>M9</f>
        <v>2</v>
      </c>
      <c r="O9" s="1088">
        <f t="shared" ref="O9:P9" si="3">N9</f>
        <v>2</v>
      </c>
      <c r="P9" s="1088">
        <f t="shared" si="3"/>
        <v>2</v>
      </c>
      <c r="Q9" s="1088">
        <v>3</v>
      </c>
      <c r="R9" s="1089">
        <v>3</v>
      </c>
    </row>
    <row r="10" spans="1:18" x14ac:dyDescent="0.2">
      <c r="B10" s="1080" t="s">
        <v>665</v>
      </c>
      <c r="C10" s="1427">
        <f>I10*M10</f>
        <v>339.96</v>
      </c>
      <c r="H10" s="1081" t="s">
        <v>665</v>
      </c>
      <c r="I10" s="1430">
        <v>84.99</v>
      </c>
      <c r="J10" s="1086" t="s">
        <v>666</v>
      </c>
      <c r="L10" s="1087" t="s">
        <v>665</v>
      </c>
      <c r="M10" s="1088">
        <f>M8</f>
        <v>4</v>
      </c>
      <c r="N10" s="1088">
        <f t="shared" ref="N10:R10" si="4">N8</f>
        <v>4</v>
      </c>
      <c r="O10" s="1088">
        <f t="shared" si="4"/>
        <v>4</v>
      </c>
      <c r="P10" s="1088">
        <f t="shared" si="4"/>
        <v>4</v>
      </c>
      <c r="Q10" s="1088">
        <f t="shared" si="4"/>
        <v>4</v>
      </c>
      <c r="R10" s="1089">
        <f t="shared" si="4"/>
        <v>4</v>
      </c>
    </row>
    <row r="11" spans="1:18" x14ac:dyDescent="0.2">
      <c r="B11" s="1080" t="s">
        <v>667</v>
      </c>
      <c r="C11" s="1427">
        <f t="shared" si="0"/>
        <v>129.97999999999999</v>
      </c>
      <c r="H11" s="1081" t="s">
        <v>667</v>
      </c>
      <c r="I11" s="1430">
        <v>64.989999999999995</v>
      </c>
      <c r="J11" s="1086" t="s">
        <v>86</v>
      </c>
      <c r="L11" s="1087" t="s">
        <v>667</v>
      </c>
      <c r="M11" s="1088">
        <v>2</v>
      </c>
      <c r="N11" s="1088">
        <v>2</v>
      </c>
      <c r="O11" s="1088">
        <v>2</v>
      </c>
      <c r="P11" s="1088">
        <v>3</v>
      </c>
      <c r="Q11" s="1088">
        <v>3</v>
      </c>
      <c r="R11" s="1089">
        <v>3</v>
      </c>
    </row>
    <row r="12" spans="1:18" x14ac:dyDescent="0.2">
      <c r="B12" s="1080" t="s">
        <v>89</v>
      </c>
      <c r="C12" s="1427" t="e">
        <f t="shared" ca="1" si="0"/>
        <v>#NAME?</v>
      </c>
      <c r="H12" s="1081" t="s">
        <v>89</v>
      </c>
      <c r="I12" s="1430">
        <f>38.88</f>
        <v>38.880000000000003</v>
      </c>
      <c r="J12" s="1086" t="s">
        <v>668</v>
      </c>
      <c r="L12" s="1087" t="s">
        <v>669</v>
      </c>
      <c r="M12" s="1088" t="e">
        <f ca="1">ROUNDUP(Salaries!C212/6,0)</f>
        <v>#NAME?</v>
      </c>
      <c r="N12" s="1088" t="e">
        <f ca="1">ROUNDUP(Salaries!D212/6,0)</f>
        <v>#NAME?</v>
      </c>
      <c r="O12" s="1088" t="e">
        <f ca="1">ROUNDUP(Salaries!E212/6,0)</f>
        <v>#NAME?</v>
      </c>
      <c r="P12" s="1088" t="e">
        <f ca="1">ROUNDUP(Salaries!F212/6,0)</f>
        <v>#NAME?</v>
      </c>
      <c r="Q12" s="1088" t="e">
        <f ca="1">ROUNDUP(Salaries!G212/6,0)</f>
        <v>#NAME?</v>
      </c>
      <c r="R12" s="1089" t="e">
        <f ca="1">ROUNDUP(Salaries!H212/6,0)</f>
        <v>#NAME?</v>
      </c>
    </row>
    <row r="13" spans="1:18" x14ac:dyDescent="0.2">
      <c r="B13" s="1080" t="s">
        <v>95</v>
      </c>
      <c r="C13" s="1427" t="e">
        <f t="shared" ca="1" si="0"/>
        <v>#NAME?</v>
      </c>
      <c r="H13" s="1081" t="s">
        <v>95</v>
      </c>
      <c r="I13" s="1430">
        <v>18.059999999999999</v>
      </c>
      <c r="J13" s="1086" t="s">
        <v>96</v>
      </c>
      <c r="L13" s="1087" t="s">
        <v>95</v>
      </c>
      <c r="M13" s="1088" t="e">
        <f ca="1">M12*6</f>
        <v>#NAME?</v>
      </c>
      <c r="N13" s="1088" t="e">
        <f t="shared" ref="N13:R13" ca="1" si="5">N12*6</f>
        <v>#NAME?</v>
      </c>
      <c r="O13" s="1088" t="e">
        <f t="shared" ca="1" si="5"/>
        <v>#NAME?</v>
      </c>
      <c r="P13" s="1088" t="e">
        <f t="shared" ca="1" si="5"/>
        <v>#NAME?</v>
      </c>
      <c r="Q13" s="1088" t="e">
        <f t="shared" ca="1" si="5"/>
        <v>#NAME?</v>
      </c>
      <c r="R13" s="1089" t="e">
        <f t="shared" ca="1" si="5"/>
        <v>#NAME?</v>
      </c>
    </row>
    <row r="14" spans="1:18" x14ac:dyDescent="0.2">
      <c r="B14" s="1080" t="s">
        <v>670</v>
      </c>
      <c r="C14" s="1427">
        <f t="shared" si="0"/>
        <v>190</v>
      </c>
      <c r="H14" s="1081" t="s">
        <v>670</v>
      </c>
      <c r="I14" s="1430">
        <v>95</v>
      </c>
      <c r="J14" s="1086" t="s">
        <v>671</v>
      </c>
      <c r="L14" s="1087" t="s">
        <v>670</v>
      </c>
      <c r="M14" s="1088">
        <f>M11</f>
        <v>2</v>
      </c>
      <c r="N14" s="1088">
        <f t="shared" ref="N14:R14" si="6">N11</f>
        <v>2</v>
      </c>
      <c r="O14" s="1088">
        <f t="shared" si="6"/>
        <v>2</v>
      </c>
      <c r="P14" s="1088">
        <f t="shared" si="6"/>
        <v>3</v>
      </c>
      <c r="Q14" s="1088">
        <f t="shared" si="6"/>
        <v>3</v>
      </c>
      <c r="R14" s="1089">
        <f t="shared" si="6"/>
        <v>3</v>
      </c>
    </row>
    <row r="15" spans="1:18" x14ac:dyDescent="0.2">
      <c r="B15" s="1080" t="s">
        <v>672</v>
      </c>
      <c r="C15" s="1427">
        <f t="shared" si="0"/>
        <v>533.31000000000006</v>
      </c>
      <c r="H15" s="1081" t="s">
        <v>672</v>
      </c>
      <c r="I15" s="1430">
        <v>177.77</v>
      </c>
      <c r="J15" s="1086" t="s">
        <v>673</v>
      </c>
      <c r="L15" s="1087" t="s">
        <v>672</v>
      </c>
      <c r="M15" s="1088">
        <v>3</v>
      </c>
      <c r="N15" s="1088">
        <f>M15</f>
        <v>3</v>
      </c>
      <c r="O15" s="1088">
        <f t="shared" ref="O15" si="7">N15</f>
        <v>3</v>
      </c>
      <c r="P15" s="1088">
        <v>4</v>
      </c>
      <c r="Q15" s="1088">
        <v>4</v>
      </c>
      <c r="R15" s="1089">
        <v>4</v>
      </c>
    </row>
    <row r="16" spans="1:18" x14ac:dyDescent="0.2">
      <c r="B16" s="1080" t="s">
        <v>674</v>
      </c>
      <c r="C16" s="1427" t="e">
        <f t="shared" ca="1" si="0"/>
        <v>#NAME?</v>
      </c>
      <c r="H16" s="1091" t="s">
        <v>674</v>
      </c>
      <c r="I16" s="1431">
        <f>100*12</f>
        <v>1200</v>
      </c>
      <c r="J16" s="1092" t="s">
        <v>675</v>
      </c>
      <c r="L16" s="1093" t="s">
        <v>674</v>
      </c>
      <c r="M16" s="1094" t="e">
        <f ca="1">ROUNDUP(Salaries!C212/25,0)</f>
        <v>#NAME?</v>
      </c>
      <c r="N16" s="1094" t="e">
        <f ca="1">ROUNDUP(Salaries!D212/25,0)</f>
        <v>#NAME?</v>
      </c>
      <c r="O16" s="1094" t="e">
        <f ca="1">ROUNDUP(Salaries!E212/25,0)</f>
        <v>#NAME?</v>
      </c>
      <c r="P16" s="1094" t="e">
        <f ca="1">ROUNDUP(Salaries!F212/25,0)</f>
        <v>#NAME?</v>
      </c>
      <c r="Q16" s="1094" t="e">
        <f ca="1">ROUNDUP(Salaries!G212/25,0)</f>
        <v>#NAME?</v>
      </c>
      <c r="R16" s="1095" t="e">
        <f ca="1">ROUNDUP(Salaries!H212/25,0)</f>
        <v>#NAME?</v>
      </c>
    </row>
    <row r="17" spans="2:14" x14ac:dyDescent="0.2">
      <c r="B17" s="844" t="s">
        <v>579</v>
      </c>
      <c r="C17" s="1428" t="e">
        <f ca="1">SUM(C3:C16)</f>
        <v>#NAME?</v>
      </c>
      <c r="M17" s="869"/>
      <c r="N17" s="869"/>
    </row>
    <row r="18" spans="2:14" x14ac:dyDescent="0.2">
      <c r="B18" s="1432"/>
      <c r="C18" s="1432"/>
      <c r="M18" s="869"/>
      <c r="N18" s="869"/>
    </row>
    <row r="19" spans="2:14" s="871" customFormat="1" ht="6" customHeight="1" x14ac:dyDescent="0.2">
      <c r="B19" s="1170"/>
      <c r="C19" s="1171"/>
      <c r="D19" s="1171"/>
    </row>
    <row r="21" spans="2:14" x14ac:dyDescent="0.2">
      <c r="B21" s="2013" t="s">
        <v>71</v>
      </c>
      <c r="C21" s="1248" t="s">
        <v>79</v>
      </c>
    </row>
    <row r="22" spans="2:14" x14ac:dyDescent="0.2">
      <c r="B22" s="1080" t="s">
        <v>95</v>
      </c>
      <c r="C22" s="1427">
        <f>I3*(N3-M3)*(1+$F$2)</f>
        <v>198.86939999999998</v>
      </c>
      <c r="G22" s="791"/>
      <c r="H22" s="791"/>
      <c r="I22" s="791"/>
      <c r="J22" s="791"/>
    </row>
    <row r="23" spans="2:14" x14ac:dyDescent="0.2">
      <c r="B23" s="1080" t="s">
        <v>653</v>
      </c>
      <c r="C23" s="1427">
        <f>I4*(N4-M4)*(1+$F$2)</f>
        <v>297.15659999999997</v>
      </c>
      <c r="G23" s="791"/>
      <c r="H23" s="791"/>
      <c r="I23" s="1096"/>
      <c r="J23" s="1096"/>
    </row>
    <row r="24" spans="2:14" x14ac:dyDescent="0.2">
      <c r="B24" s="1080" t="s">
        <v>655</v>
      </c>
      <c r="C24" s="1427">
        <f t="shared" ref="C24:C34" si="8">I5*(N5-M5)*(1+$F$2)</f>
        <v>67.289400000000001</v>
      </c>
      <c r="G24" s="791"/>
      <c r="H24" s="791"/>
      <c r="I24" s="1097"/>
      <c r="J24" s="1097"/>
    </row>
    <row r="25" spans="2:14" x14ac:dyDescent="0.2">
      <c r="B25" s="1080" t="s">
        <v>657</v>
      </c>
      <c r="C25" s="1427">
        <f t="shared" si="8"/>
        <v>584.42939999999999</v>
      </c>
      <c r="G25" s="791"/>
      <c r="H25" s="791"/>
      <c r="I25" s="791"/>
      <c r="J25" s="791"/>
    </row>
    <row r="26" spans="2:14" x14ac:dyDescent="0.2">
      <c r="B26" s="1080" t="s">
        <v>659</v>
      </c>
      <c r="C26" s="1427">
        <f t="shared" si="8"/>
        <v>90.423000000000002</v>
      </c>
      <c r="G26" s="791"/>
      <c r="H26" s="791"/>
      <c r="I26" s="1097"/>
      <c r="J26" s="1097"/>
    </row>
    <row r="27" spans="2:14" x14ac:dyDescent="0.2">
      <c r="B27" s="1080" t="s">
        <v>661</v>
      </c>
      <c r="C27" s="1427">
        <f t="shared" si="8"/>
        <v>0</v>
      </c>
      <c r="G27" s="791"/>
      <c r="H27" s="791"/>
      <c r="I27" s="1097"/>
      <c r="J27" s="1097"/>
    </row>
    <row r="28" spans="2:14" x14ac:dyDescent="0.2">
      <c r="B28" s="1080" t="s">
        <v>663</v>
      </c>
      <c r="C28" s="1427">
        <f t="shared" si="8"/>
        <v>0</v>
      </c>
      <c r="G28" s="791"/>
      <c r="H28" s="791"/>
      <c r="I28" s="1097"/>
      <c r="J28" s="1097"/>
    </row>
    <row r="29" spans="2:14" x14ac:dyDescent="0.2">
      <c r="B29" s="1080" t="s">
        <v>665</v>
      </c>
      <c r="C29" s="1427">
        <f t="shared" si="8"/>
        <v>0</v>
      </c>
      <c r="G29" s="791"/>
      <c r="H29" s="791"/>
      <c r="I29" s="791"/>
      <c r="J29" s="791"/>
    </row>
    <row r="30" spans="2:14" x14ac:dyDescent="0.2">
      <c r="B30" s="1080" t="s">
        <v>667</v>
      </c>
      <c r="C30" s="1427">
        <f t="shared" si="8"/>
        <v>0</v>
      </c>
      <c r="G30" s="791"/>
      <c r="H30" s="791"/>
      <c r="I30" s="1097"/>
      <c r="J30" s="1097"/>
    </row>
    <row r="31" spans="2:14" x14ac:dyDescent="0.2">
      <c r="B31" s="1080" t="s">
        <v>89</v>
      </c>
      <c r="C31" s="1427" t="e">
        <f t="shared" ca="1" si="8"/>
        <v>#NAME?</v>
      </c>
      <c r="G31" s="791"/>
      <c r="H31" s="791"/>
      <c r="I31" s="1097"/>
      <c r="J31" s="1097"/>
    </row>
    <row r="32" spans="2:14" x14ac:dyDescent="0.2">
      <c r="B32" s="1080" t="s">
        <v>95</v>
      </c>
      <c r="C32" s="1427" t="e">
        <f t="shared" ca="1" si="8"/>
        <v>#NAME?</v>
      </c>
      <c r="G32" s="791"/>
      <c r="H32" s="791"/>
      <c r="I32" s="1097"/>
      <c r="J32" s="1097"/>
    </row>
    <row r="33" spans="2:14" x14ac:dyDescent="0.2">
      <c r="B33" s="1080" t="s">
        <v>670</v>
      </c>
      <c r="C33" s="1427">
        <f t="shared" si="8"/>
        <v>0</v>
      </c>
      <c r="G33" s="791"/>
      <c r="H33" s="791"/>
      <c r="I33" s="1098"/>
      <c r="J33" s="1098"/>
    </row>
    <row r="34" spans="2:14" x14ac:dyDescent="0.2">
      <c r="B34" s="1080" t="s">
        <v>672</v>
      </c>
      <c r="C34" s="1427">
        <f t="shared" si="8"/>
        <v>0</v>
      </c>
      <c r="G34" s="791"/>
      <c r="H34" s="791"/>
      <c r="I34" s="1097"/>
      <c r="J34" s="1097"/>
    </row>
    <row r="35" spans="2:14" x14ac:dyDescent="0.2">
      <c r="B35" s="1080" t="s">
        <v>674</v>
      </c>
      <c r="C35" s="1427" t="e">
        <f ca="1">I16*N16*(1+$F$2)</f>
        <v>#NAME?</v>
      </c>
      <c r="G35" s="791"/>
      <c r="H35" s="791"/>
      <c r="I35" s="791"/>
      <c r="J35" s="791"/>
      <c r="M35" s="1099"/>
      <c r="N35" s="1099"/>
    </row>
    <row r="36" spans="2:14" x14ac:dyDescent="0.2">
      <c r="B36" s="844" t="s">
        <v>579</v>
      </c>
      <c r="C36" s="1428" t="e">
        <f ca="1">SUM(C22:C35)</f>
        <v>#NAME?</v>
      </c>
      <c r="G36" s="791"/>
      <c r="H36" s="791"/>
      <c r="I36" s="791"/>
      <c r="J36" s="791"/>
    </row>
    <row r="37" spans="2:14" x14ac:dyDescent="0.2">
      <c r="B37" s="791"/>
      <c r="C37" s="1096"/>
      <c r="D37" s="1096"/>
    </row>
    <row r="38" spans="2:14" s="871" customFormat="1" ht="6" customHeight="1" x14ac:dyDescent="0.2">
      <c r="B38" s="1170"/>
      <c r="C38" s="1171"/>
      <c r="D38" s="1171"/>
    </row>
    <row r="39" spans="2:14" x14ac:dyDescent="0.2">
      <c r="B39" s="791"/>
      <c r="C39" s="1096"/>
      <c r="D39" s="1096"/>
    </row>
    <row r="40" spans="2:14" x14ac:dyDescent="0.2">
      <c r="B40" s="2013" t="s">
        <v>72</v>
      </c>
      <c r="C40" s="1248" t="s">
        <v>79</v>
      </c>
      <c r="D40" s="1097"/>
    </row>
    <row r="41" spans="2:14" x14ac:dyDescent="0.2">
      <c r="B41" s="1080" t="s">
        <v>95</v>
      </c>
      <c r="C41" s="1427">
        <f>I3*(O3-N3)*(1+$F$2)^2</f>
        <v>67.615595999999996</v>
      </c>
      <c r="D41" s="1097"/>
    </row>
    <row r="42" spans="2:14" x14ac:dyDescent="0.2">
      <c r="B42" s="1080" t="s">
        <v>653</v>
      </c>
      <c r="C42" s="1427">
        <f>I4*(O4-N4)*(1+$F$2)^2</f>
        <v>101.033244</v>
      </c>
      <c r="D42" s="1097"/>
    </row>
    <row r="43" spans="2:14" x14ac:dyDescent="0.2">
      <c r="B43" s="1080" t="s">
        <v>655</v>
      </c>
      <c r="C43" s="1427">
        <f t="shared" ref="C43:C53" si="9">I5*(O5-N5)*(1+$F$2)^2</f>
        <v>22.878395999999999</v>
      </c>
      <c r="D43" s="1097"/>
    </row>
    <row r="44" spans="2:14" x14ac:dyDescent="0.2">
      <c r="B44" s="1080" t="s">
        <v>657</v>
      </c>
      <c r="C44" s="1427">
        <f t="shared" si="9"/>
        <v>198.705996</v>
      </c>
      <c r="D44" s="1097"/>
    </row>
    <row r="45" spans="2:14" x14ac:dyDescent="0.2">
      <c r="B45" s="1080" t="s">
        <v>659</v>
      </c>
      <c r="C45" s="1427">
        <f t="shared" si="9"/>
        <v>30.743819999999999</v>
      </c>
      <c r="D45" s="1097"/>
    </row>
    <row r="46" spans="2:14" x14ac:dyDescent="0.2">
      <c r="B46" s="1080" t="s">
        <v>661</v>
      </c>
      <c r="C46" s="1427">
        <f t="shared" si="9"/>
        <v>0</v>
      </c>
      <c r="D46" s="1097"/>
    </row>
    <row r="47" spans="2:14" x14ac:dyDescent="0.2">
      <c r="B47" s="1080" t="s">
        <v>663</v>
      </c>
      <c r="C47" s="1427">
        <f t="shared" si="9"/>
        <v>0</v>
      </c>
      <c r="D47" s="1097"/>
    </row>
    <row r="48" spans="2:14" x14ac:dyDescent="0.2">
      <c r="B48" s="1080" t="s">
        <v>665</v>
      </c>
      <c r="C48" s="1427">
        <f t="shared" si="9"/>
        <v>0</v>
      </c>
      <c r="D48" s="1097"/>
    </row>
    <row r="49" spans="2:4" x14ac:dyDescent="0.2">
      <c r="B49" s="1080" t="s">
        <v>667</v>
      </c>
      <c r="C49" s="1427">
        <f t="shared" si="9"/>
        <v>0</v>
      </c>
      <c r="D49" s="1098"/>
    </row>
    <row r="50" spans="2:4" x14ac:dyDescent="0.2">
      <c r="B50" s="1080" t="s">
        <v>89</v>
      </c>
      <c r="C50" s="1427" t="e">
        <f t="shared" ca="1" si="9"/>
        <v>#NAME?</v>
      </c>
      <c r="D50" s="1097"/>
    </row>
    <row r="51" spans="2:4" x14ac:dyDescent="0.2">
      <c r="B51" s="1080" t="s">
        <v>95</v>
      </c>
      <c r="C51" s="1427" t="e">
        <f t="shared" ca="1" si="9"/>
        <v>#NAME?</v>
      </c>
      <c r="D51" s="791"/>
    </row>
    <row r="52" spans="2:4" x14ac:dyDescent="0.2">
      <c r="B52" s="1080" t="s">
        <v>670</v>
      </c>
      <c r="C52" s="1427">
        <f t="shared" si="9"/>
        <v>0</v>
      </c>
      <c r="D52" s="1096"/>
    </row>
    <row r="53" spans="2:4" x14ac:dyDescent="0.2">
      <c r="B53" s="1080" t="s">
        <v>672</v>
      </c>
      <c r="C53" s="1427">
        <f t="shared" si="9"/>
        <v>0</v>
      </c>
      <c r="D53" s="791"/>
    </row>
    <row r="54" spans="2:4" x14ac:dyDescent="0.2">
      <c r="B54" s="1080" t="s">
        <v>674</v>
      </c>
      <c r="C54" s="1427" t="e">
        <f ca="1">I16*O16*(1+$F$2)^2</f>
        <v>#NAME?</v>
      </c>
      <c r="D54" s="1096"/>
    </row>
    <row r="55" spans="2:4" x14ac:dyDescent="0.2">
      <c r="B55" s="844" t="s">
        <v>579</v>
      </c>
      <c r="C55" s="1428" t="e">
        <f ca="1">SUM(C41:C54)</f>
        <v>#NAME?</v>
      </c>
      <c r="D55" s="1096"/>
    </row>
    <row r="56" spans="2:4" x14ac:dyDescent="0.2">
      <c r="D56" s="1097"/>
    </row>
    <row r="57" spans="2:4" s="871" customFormat="1" ht="4.5" customHeight="1" x14ac:dyDescent="0.2">
      <c r="D57" s="1169"/>
    </row>
    <row r="58" spans="2:4" x14ac:dyDescent="0.2">
      <c r="D58" s="1097"/>
    </row>
    <row r="59" spans="2:4" x14ac:dyDescent="0.2">
      <c r="B59" s="2013" t="s">
        <v>73</v>
      </c>
      <c r="C59" s="1248" t="s">
        <v>79</v>
      </c>
      <c r="D59" s="1097"/>
    </row>
    <row r="60" spans="2:4" x14ac:dyDescent="0.2">
      <c r="B60" s="1080" t="s">
        <v>95</v>
      </c>
      <c r="C60" s="1427">
        <f>I3*(P3-O3)*(1+$F$2)^3</f>
        <v>413.80744751999993</v>
      </c>
      <c r="D60" s="1097"/>
    </row>
    <row r="61" spans="2:4" x14ac:dyDescent="0.2">
      <c r="B61" s="1080" t="s">
        <v>653</v>
      </c>
      <c r="C61" s="1427">
        <f t="shared" ref="C61:C72" si="10">I4*(P4-O4)*(1+$F$2)^3</f>
        <v>618.32345327999997</v>
      </c>
      <c r="D61" s="1097"/>
    </row>
    <row r="62" spans="2:4" x14ac:dyDescent="0.2">
      <c r="B62" s="1080" t="s">
        <v>655</v>
      </c>
      <c r="C62" s="1427">
        <f t="shared" si="10"/>
        <v>140.01578351999999</v>
      </c>
      <c r="D62" s="1097"/>
    </row>
    <row r="63" spans="2:4" x14ac:dyDescent="0.2">
      <c r="B63" s="1080" t="s">
        <v>657</v>
      </c>
      <c r="C63" s="1427">
        <f t="shared" si="10"/>
        <v>1216.0806955200001</v>
      </c>
      <c r="D63" s="1097"/>
    </row>
    <row r="64" spans="2:4" x14ac:dyDescent="0.2">
      <c r="B64" s="1080" t="s">
        <v>659</v>
      </c>
      <c r="C64" s="1427">
        <f t="shared" si="10"/>
        <v>188.1521784</v>
      </c>
      <c r="D64" s="1097"/>
    </row>
    <row r="65" spans="2:4" x14ac:dyDescent="0.2">
      <c r="B65" s="1080" t="s">
        <v>661</v>
      </c>
      <c r="C65" s="1427">
        <f t="shared" si="10"/>
        <v>0</v>
      </c>
      <c r="D65" s="1097"/>
    </row>
    <row r="66" spans="2:4" x14ac:dyDescent="0.2">
      <c r="B66" s="1080" t="s">
        <v>663</v>
      </c>
      <c r="C66" s="1427">
        <f t="shared" si="10"/>
        <v>0</v>
      </c>
      <c r="D66" s="1097"/>
    </row>
    <row r="67" spans="2:4" x14ac:dyDescent="0.2">
      <c r="B67" s="1080" t="s">
        <v>665</v>
      </c>
      <c r="C67" s="1427">
        <f t="shared" si="10"/>
        <v>0</v>
      </c>
      <c r="D67" s="1098"/>
    </row>
    <row r="68" spans="2:4" x14ac:dyDescent="0.2">
      <c r="B68" s="1080" t="s">
        <v>667</v>
      </c>
      <c r="C68" s="1427">
        <f t="shared" si="10"/>
        <v>68.967907919999988</v>
      </c>
      <c r="D68" s="1097"/>
    </row>
    <row r="69" spans="2:4" x14ac:dyDescent="0.2">
      <c r="B69" s="1080" t="s">
        <v>89</v>
      </c>
      <c r="C69" s="1427" t="e">
        <f t="shared" ca="1" si="10"/>
        <v>#NAME?</v>
      </c>
      <c r="D69" s="791"/>
    </row>
    <row r="70" spans="2:4" x14ac:dyDescent="0.2">
      <c r="B70" s="1080" t="s">
        <v>95</v>
      </c>
      <c r="C70" s="1427" t="e">
        <f t="shared" ca="1" si="10"/>
        <v>#NAME?</v>
      </c>
      <c r="D70" s="869"/>
    </row>
    <row r="71" spans="2:4" x14ac:dyDescent="0.2">
      <c r="B71" s="1080" t="s">
        <v>670</v>
      </c>
      <c r="C71" s="1427">
        <f t="shared" si="10"/>
        <v>100.81475999999999</v>
      </c>
    </row>
    <row r="72" spans="2:4" x14ac:dyDescent="0.2">
      <c r="B72" s="1080" t="s">
        <v>672</v>
      </c>
      <c r="C72" s="1427">
        <f t="shared" si="10"/>
        <v>188.65094615999999</v>
      </c>
    </row>
    <row r="73" spans="2:4" x14ac:dyDescent="0.2">
      <c r="B73" s="1080" t="s">
        <v>674</v>
      </c>
      <c r="C73" s="1427" t="e">
        <f ca="1">I16*P16*(1+$F$2)^3</f>
        <v>#NAME?</v>
      </c>
    </row>
    <row r="74" spans="2:4" x14ac:dyDescent="0.2">
      <c r="B74" s="844" t="s">
        <v>579</v>
      </c>
      <c r="C74" s="1428" t="e">
        <f ca="1">SUM(C60:C73)</f>
        <v>#NAME?</v>
      </c>
    </row>
    <row r="76" spans="2:4" s="871" customFormat="1" ht="6" customHeight="1" x14ac:dyDescent="0.2"/>
    <row r="78" spans="2:4" x14ac:dyDescent="0.2">
      <c r="B78" s="2013" t="s">
        <v>74</v>
      </c>
      <c r="C78" s="1248" t="s">
        <v>79</v>
      </c>
    </row>
    <row r="79" spans="2:4" x14ac:dyDescent="0.2">
      <c r="B79" s="1080" t="s">
        <v>95</v>
      </c>
      <c r="C79" s="1427">
        <f>I3*(Q3-P3)*(1+$F$2)^4</f>
        <v>281.38906431359999</v>
      </c>
    </row>
    <row r="80" spans="2:4" x14ac:dyDescent="0.2">
      <c r="B80" s="1080" t="s">
        <v>653</v>
      </c>
      <c r="C80" s="1427">
        <f t="shared" ref="C80:C91" si="11">I4*(Q4-P4)*(1+$F$2)^4</f>
        <v>420.45994823040002</v>
      </c>
    </row>
    <row r="81" spans="2:3" x14ac:dyDescent="0.2">
      <c r="B81" s="1080" t="s">
        <v>655</v>
      </c>
      <c r="C81" s="1427">
        <f t="shared" si="11"/>
        <v>95.210732793599988</v>
      </c>
    </row>
    <row r="82" spans="2:3" x14ac:dyDescent="0.2">
      <c r="B82" s="1080" t="s">
        <v>657</v>
      </c>
      <c r="C82" s="1427">
        <f t="shared" si="11"/>
        <v>826.93487295360001</v>
      </c>
    </row>
    <row r="83" spans="2:3" x14ac:dyDescent="0.2">
      <c r="B83" s="1080" t="s">
        <v>659</v>
      </c>
      <c r="C83" s="1427">
        <f t="shared" si="11"/>
        <v>127.943481312</v>
      </c>
    </row>
    <row r="84" spans="2:3" x14ac:dyDescent="0.2">
      <c r="B84" s="1080" t="s">
        <v>661</v>
      </c>
      <c r="C84" s="1427">
        <f t="shared" si="11"/>
        <v>0</v>
      </c>
    </row>
    <row r="85" spans="2:3" x14ac:dyDescent="0.2">
      <c r="B85" s="1080" t="s">
        <v>663</v>
      </c>
      <c r="C85" s="1427">
        <f t="shared" si="11"/>
        <v>485.0811481824</v>
      </c>
    </row>
    <row r="86" spans="2:3" x14ac:dyDescent="0.2">
      <c r="B86" s="1080" t="s">
        <v>665</v>
      </c>
      <c r="C86" s="1427">
        <f t="shared" si="11"/>
        <v>0</v>
      </c>
    </row>
    <row r="87" spans="2:3" x14ac:dyDescent="0.2">
      <c r="B87" s="1080" t="s">
        <v>667</v>
      </c>
      <c r="C87" s="1427">
        <f t="shared" si="11"/>
        <v>0</v>
      </c>
    </row>
    <row r="88" spans="2:3" x14ac:dyDescent="0.2">
      <c r="B88" s="1080" t="s">
        <v>89</v>
      </c>
      <c r="C88" s="1427" t="e">
        <f t="shared" ca="1" si="11"/>
        <v>#NAME?</v>
      </c>
    </row>
    <row r="89" spans="2:3" x14ac:dyDescent="0.2">
      <c r="B89" s="1080" t="s">
        <v>95</v>
      </c>
      <c r="C89" s="1427" t="e">
        <f t="shared" ca="1" si="11"/>
        <v>#NAME?</v>
      </c>
    </row>
    <row r="90" spans="2:3" x14ac:dyDescent="0.2">
      <c r="B90" s="1080" t="s">
        <v>670</v>
      </c>
      <c r="C90" s="1427">
        <f t="shared" si="11"/>
        <v>0</v>
      </c>
    </row>
    <row r="91" spans="2:3" x14ac:dyDescent="0.2">
      <c r="B91" s="1080" t="s">
        <v>672</v>
      </c>
      <c r="C91" s="1427">
        <f t="shared" si="11"/>
        <v>0</v>
      </c>
    </row>
    <row r="92" spans="2:3" x14ac:dyDescent="0.2">
      <c r="B92" s="1080" t="s">
        <v>674</v>
      </c>
      <c r="C92" s="1427" t="e">
        <f ca="1">I16*Q16*(1+$F$2)^4</f>
        <v>#NAME?</v>
      </c>
    </row>
    <row r="93" spans="2:3" x14ac:dyDescent="0.2">
      <c r="B93" s="844" t="s">
        <v>579</v>
      </c>
      <c r="C93" s="1428" t="e">
        <f ca="1">SUM(C79:C92)</f>
        <v>#NAME?</v>
      </c>
    </row>
    <row r="94" spans="2:3" x14ac:dyDescent="0.2">
      <c r="B94" s="1432"/>
      <c r="C94" s="1432"/>
    </row>
    <row r="95" spans="2:3" s="871" customFormat="1" ht="6" customHeight="1" x14ac:dyDescent="0.2"/>
    <row r="96" spans="2:3" x14ac:dyDescent="0.2">
      <c r="B96" s="1432"/>
    </row>
    <row r="97" spans="2:3" x14ac:dyDescent="0.2">
      <c r="B97" s="2013" t="s">
        <v>75</v>
      </c>
      <c r="C97" s="1248" t="s">
        <v>79</v>
      </c>
    </row>
    <row r="98" spans="2:3" x14ac:dyDescent="0.2">
      <c r="B98" s="1080" t="s">
        <v>95</v>
      </c>
      <c r="C98" s="1427">
        <f>(R3-Q3)*I3*(1+$F$2)^5</f>
        <v>0</v>
      </c>
    </row>
    <row r="99" spans="2:3" x14ac:dyDescent="0.2">
      <c r="B99" s="1080" t="s">
        <v>653</v>
      </c>
      <c r="C99" s="1427">
        <f t="shared" ref="C99:C110" si="12">(R4-Q4)*I4*(1+$F$2)^5</f>
        <v>0</v>
      </c>
    </row>
    <row r="100" spans="2:3" x14ac:dyDescent="0.2">
      <c r="B100" s="1080" t="s">
        <v>655</v>
      </c>
      <c r="C100" s="1427">
        <f t="shared" si="12"/>
        <v>0</v>
      </c>
    </row>
    <row r="101" spans="2:3" x14ac:dyDescent="0.2">
      <c r="B101" s="1080" t="s">
        <v>657</v>
      </c>
      <c r="C101" s="1427">
        <f t="shared" si="12"/>
        <v>0</v>
      </c>
    </row>
    <row r="102" spans="2:3" x14ac:dyDescent="0.2">
      <c r="B102" s="1080" t="s">
        <v>659</v>
      </c>
      <c r="C102" s="1427">
        <f t="shared" si="12"/>
        <v>0</v>
      </c>
    </row>
    <row r="103" spans="2:3" x14ac:dyDescent="0.2">
      <c r="B103" s="1080" t="s">
        <v>661</v>
      </c>
      <c r="C103" s="1427">
        <f t="shared" si="12"/>
        <v>0</v>
      </c>
    </row>
    <row r="104" spans="2:3" x14ac:dyDescent="0.2">
      <c r="B104" s="1080" t="s">
        <v>663</v>
      </c>
      <c r="C104" s="1427">
        <f t="shared" si="12"/>
        <v>0</v>
      </c>
    </row>
    <row r="105" spans="2:3" x14ac:dyDescent="0.2">
      <c r="B105" s="1080" t="s">
        <v>665</v>
      </c>
      <c r="C105" s="1427">
        <f t="shared" si="12"/>
        <v>0</v>
      </c>
    </row>
    <row r="106" spans="2:3" x14ac:dyDescent="0.2">
      <c r="B106" s="1080" t="s">
        <v>667</v>
      </c>
      <c r="C106" s="1427">
        <f t="shared" si="12"/>
        <v>0</v>
      </c>
    </row>
    <row r="107" spans="2:3" x14ac:dyDescent="0.2">
      <c r="B107" s="1080" t="s">
        <v>89</v>
      </c>
      <c r="C107" s="1427" t="e">
        <f t="shared" ca="1" si="12"/>
        <v>#NAME?</v>
      </c>
    </row>
    <row r="108" spans="2:3" x14ac:dyDescent="0.2">
      <c r="B108" s="1080" t="s">
        <v>95</v>
      </c>
      <c r="C108" s="1427" t="e">
        <f t="shared" ca="1" si="12"/>
        <v>#NAME?</v>
      </c>
    </row>
    <row r="109" spans="2:3" x14ac:dyDescent="0.2">
      <c r="B109" s="1080" t="s">
        <v>670</v>
      </c>
      <c r="C109" s="1427">
        <f t="shared" si="12"/>
        <v>0</v>
      </c>
    </row>
    <row r="110" spans="2:3" x14ac:dyDescent="0.2">
      <c r="B110" s="1080" t="s">
        <v>672</v>
      </c>
      <c r="C110" s="1427">
        <f t="shared" si="12"/>
        <v>0</v>
      </c>
    </row>
    <row r="111" spans="2:3" x14ac:dyDescent="0.2">
      <c r="B111" s="1080" t="s">
        <v>674</v>
      </c>
      <c r="C111" s="1427" t="e">
        <f ca="1">R16*I16*(1+$F$2)^5</f>
        <v>#NAME?</v>
      </c>
    </row>
    <row r="112" spans="2:3" x14ac:dyDescent="0.2">
      <c r="B112" s="844" t="s">
        <v>579</v>
      </c>
      <c r="C112" s="1428" t="e">
        <f ca="1">SUM(C98:C111)</f>
        <v>#NAME?</v>
      </c>
    </row>
  </sheetData>
  <phoneticPr fontId="59" type="noConversion"/>
  <hyperlinks>
    <hyperlink ref="A1"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F225"/>
  <sheetViews>
    <sheetView showGridLines="0" topLeftCell="F15" workbookViewId="0">
      <selection activeCell="J21" sqref="J21"/>
    </sheetView>
  </sheetViews>
  <sheetFormatPr baseColWidth="10" defaultColWidth="8.83203125" defaultRowHeight="16" x14ac:dyDescent="0.2"/>
  <cols>
    <col min="1" max="1" width="8.83203125" style="745"/>
    <col min="2" max="2" width="32.33203125" style="745" bestFit="1" customWidth="1"/>
    <col min="3" max="3" width="13.6640625" style="745" bestFit="1" customWidth="1"/>
    <col min="4" max="4" width="18" style="745" bestFit="1" customWidth="1"/>
    <col min="5" max="5" width="14.33203125" style="745" bestFit="1" customWidth="1"/>
    <col min="6" max="6" width="18.6640625" style="745" bestFit="1" customWidth="1"/>
    <col min="7" max="7" width="11.6640625" style="745" customWidth="1"/>
    <col min="8" max="8" width="8.83203125" style="745"/>
    <col min="9" max="9" width="10.1640625" style="745" bestFit="1" customWidth="1"/>
    <col min="10" max="10" width="12" style="745" customWidth="1"/>
    <col min="11" max="12" width="8.83203125" style="745"/>
    <col min="13" max="13" width="11.33203125" style="745" customWidth="1"/>
    <col min="14" max="15" width="8.83203125" style="745"/>
    <col min="16" max="16" width="13.1640625" style="745" customWidth="1"/>
    <col min="17" max="18" width="8.83203125" style="745"/>
    <col min="19" max="19" width="10.1640625" style="745" customWidth="1"/>
    <col min="20" max="21" width="8.83203125" style="745"/>
    <col min="22" max="22" width="12" style="745" customWidth="1"/>
    <col min="23" max="16384" width="8.83203125" style="745"/>
  </cols>
  <sheetData>
    <row r="1" spans="1:4" x14ac:dyDescent="0.2">
      <c r="A1" s="1771" t="s">
        <v>38</v>
      </c>
    </row>
    <row r="2" spans="1:4" ht="16.25" customHeight="1" x14ac:dyDescent="0.2">
      <c r="B2" s="2771" t="s">
        <v>676</v>
      </c>
      <c r="C2" s="2943"/>
      <c r="D2" s="2772"/>
    </row>
    <row r="3" spans="1:4" x14ac:dyDescent="0.2">
      <c r="B3" s="2947" t="s">
        <v>677</v>
      </c>
      <c r="C3" s="2948"/>
      <c r="D3" s="2949"/>
    </row>
    <row r="4" spans="1:4" x14ac:dyDescent="0.2">
      <c r="B4" s="908" t="s">
        <v>678</v>
      </c>
      <c r="C4" s="801">
        <v>1000</v>
      </c>
      <c r="D4" s="1107"/>
    </row>
    <row r="5" spans="1:4" x14ac:dyDescent="0.2">
      <c r="B5" s="834" t="s">
        <v>679</v>
      </c>
      <c r="C5" s="802">
        <v>1500</v>
      </c>
      <c r="D5" s="840"/>
    </row>
    <row r="6" spans="1:4" x14ac:dyDescent="0.2">
      <c r="B6" s="834" t="s">
        <v>680</v>
      </c>
      <c r="C6" s="803">
        <v>750</v>
      </c>
      <c r="D6" s="840"/>
    </row>
    <row r="7" spans="1:4" x14ac:dyDescent="0.2">
      <c r="B7" s="834" t="s">
        <v>681</v>
      </c>
      <c r="C7" s="803">
        <v>1500</v>
      </c>
      <c r="D7" s="840"/>
    </row>
    <row r="8" spans="1:4" x14ac:dyDescent="0.2">
      <c r="B8" s="834" t="s">
        <v>682</v>
      </c>
      <c r="C8" s="803">
        <v>350</v>
      </c>
      <c r="D8" s="840"/>
    </row>
    <row r="9" spans="1:4" x14ac:dyDescent="0.2">
      <c r="B9" s="834" t="s">
        <v>683</v>
      </c>
      <c r="C9" s="803">
        <v>1000</v>
      </c>
      <c r="D9" s="840"/>
    </row>
    <row r="10" spans="1:4" x14ac:dyDescent="0.2">
      <c r="B10" s="1108" t="s">
        <v>684</v>
      </c>
      <c r="C10" s="804">
        <v>469.99</v>
      </c>
      <c r="D10" s="1109" t="s">
        <v>685</v>
      </c>
    </row>
    <row r="11" spans="1:4" x14ac:dyDescent="0.2">
      <c r="B11" s="2944" t="s">
        <v>686</v>
      </c>
      <c r="C11" s="2945"/>
      <c r="D11" s="2946"/>
    </row>
    <row r="12" spans="1:4" x14ac:dyDescent="0.2">
      <c r="B12" s="899" t="s">
        <v>687</v>
      </c>
      <c r="C12" s="1113">
        <v>400</v>
      </c>
      <c r="D12" s="1114"/>
    </row>
    <row r="13" spans="1:4" x14ac:dyDescent="0.2">
      <c r="B13" s="834" t="s">
        <v>688</v>
      </c>
      <c r="C13" s="803">
        <v>5000</v>
      </c>
      <c r="D13" s="840"/>
    </row>
    <row r="14" spans="1:4" x14ac:dyDescent="0.2">
      <c r="B14" s="834" t="s">
        <v>689</v>
      </c>
      <c r="C14" s="803">
        <f>600*12</f>
        <v>7200</v>
      </c>
      <c r="D14" s="840"/>
    </row>
    <row r="15" spans="1:4" x14ac:dyDescent="0.2">
      <c r="B15" s="834" t="s">
        <v>690</v>
      </c>
      <c r="C15" s="803">
        <f>25*12</f>
        <v>300</v>
      </c>
      <c r="D15" s="840" t="s">
        <v>691</v>
      </c>
    </row>
    <row r="16" spans="1:4" x14ac:dyDescent="0.2">
      <c r="B16" s="834" t="s">
        <v>692</v>
      </c>
      <c r="C16" s="805">
        <v>2.7E-2</v>
      </c>
      <c r="D16" s="840" t="s">
        <v>693</v>
      </c>
    </row>
    <row r="17" spans="2:4" x14ac:dyDescent="0.2">
      <c r="B17" s="834" t="s">
        <v>694</v>
      </c>
      <c r="C17" s="803">
        <f>12.5*12</f>
        <v>150</v>
      </c>
      <c r="D17" s="840" t="s">
        <v>695</v>
      </c>
    </row>
    <row r="18" spans="2:4" x14ac:dyDescent="0.2">
      <c r="B18" s="834" t="s">
        <v>696</v>
      </c>
      <c r="C18" s="803">
        <v>49.49</v>
      </c>
      <c r="D18" s="840" t="s">
        <v>697</v>
      </c>
    </row>
    <row r="19" spans="2:4" x14ac:dyDescent="0.2">
      <c r="B19" s="834" t="s">
        <v>698</v>
      </c>
      <c r="C19" s="803">
        <v>0</v>
      </c>
      <c r="D19" s="840" t="s">
        <v>695</v>
      </c>
    </row>
    <row r="20" spans="2:4" x14ac:dyDescent="0.2">
      <c r="B20" s="1108" t="s">
        <v>699</v>
      </c>
      <c r="C20" s="804">
        <v>1049</v>
      </c>
      <c r="D20" s="1109" t="s">
        <v>700</v>
      </c>
    </row>
    <row r="21" spans="2:4" x14ac:dyDescent="0.2">
      <c r="B21" s="2841" t="s">
        <v>701</v>
      </c>
      <c r="C21" s="2842"/>
      <c r="D21" s="2843"/>
    </row>
    <row r="22" spans="2:4" x14ac:dyDescent="0.2">
      <c r="B22" s="908" t="s">
        <v>702</v>
      </c>
      <c r="C22" s="855">
        <f>40*12</f>
        <v>480</v>
      </c>
      <c r="D22" s="1107" t="s">
        <v>703</v>
      </c>
    </row>
    <row r="23" spans="2:4" x14ac:dyDescent="0.2">
      <c r="B23" s="1110" t="s">
        <v>704</v>
      </c>
      <c r="C23" s="807">
        <v>499</v>
      </c>
      <c r="D23" s="835" t="s">
        <v>703</v>
      </c>
    </row>
    <row r="24" spans="2:4" x14ac:dyDescent="0.2">
      <c r="B24" s="1108" t="s">
        <v>705</v>
      </c>
      <c r="C24" s="1115">
        <f>59.99*12</f>
        <v>719.88</v>
      </c>
      <c r="D24" s="1109" t="s">
        <v>706</v>
      </c>
    </row>
    <row r="25" spans="2:4" x14ac:dyDescent="0.2">
      <c r="B25" s="2944" t="s">
        <v>707</v>
      </c>
      <c r="C25" s="2945"/>
      <c r="D25" s="2946"/>
    </row>
    <row r="26" spans="2:4" x14ac:dyDescent="0.2">
      <c r="B26" s="1116" t="s">
        <v>708</v>
      </c>
      <c r="C26" s="855">
        <v>10000</v>
      </c>
      <c r="D26" s="1107"/>
    </row>
    <row r="27" spans="2:4" x14ac:dyDescent="0.2">
      <c r="B27" s="1111" t="s">
        <v>124</v>
      </c>
      <c r="C27" s="868">
        <v>1500</v>
      </c>
      <c r="D27" s="1112"/>
    </row>
    <row r="29" spans="2:4" s="808" customFormat="1" ht="5" customHeight="1" x14ac:dyDescent="0.2"/>
    <row r="31" spans="2:4" ht="16.25" customHeight="1" x14ac:dyDescent="0.2">
      <c r="B31" s="2086" t="s">
        <v>188</v>
      </c>
      <c r="C31" s="1141"/>
      <c r="D31" s="1141"/>
    </row>
    <row r="33" spans="2:4" x14ac:dyDescent="0.2">
      <c r="B33" s="844" t="s">
        <v>579</v>
      </c>
      <c r="C33" s="1118">
        <f>SUM(D37:D43)+SUM(D45:D53)+SUM(D55:D57)+SUM(D59:D60)</f>
        <v>58171.28</v>
      </c>
    </row>
    <row r="35" spans="2:4" x14ac:dyDescent="0.2">
      <c r="B35" s="1121" t="s">
        <v>648</v>
      </c>
      <c r="C35" s="1122" t="s">
        <v>709</v>
      </c>
      <c r="D35" s="1123" t="s">
        <v>579</v>
      </c>
    </row>
    <row r="36" spans="2:4" x14ac:dyDescent="0.2">
      <c r="B36" s="2947" t="s">
        <v>677</v>
      </c>
      <c r="C36" s="2948"/>
      <c r="D36" s="2949"/>
    </row>
    <row r="37" spans="2:4" x14ac:dyDescent="0.2">
      <c r="B37" s="908" t="s">
        <v>678</v>
      </c>
      <c r="C37" s="855">
        <f>SUM(Salaries!D9:'Salaries'!D11)+Salaries!D14+Salaries!D15+Salaries!D18+Salaries!D19</f>
        <v>4</v>
      </c>
      <c r="D37" s="1406">
        <f t="shared" ref="D37:D43" si="0">C37*C4</f>
        <v>4000</v>
      </c>
    </row>
    <row r="38" spans="2:4" x14ac:dyDescent="0.2">
      <c r="B38" s="834" t="s">
        <v>679</v>
      </c>
      <c r="C38" s="806">
        <v>1</v>
      </c>
      <c r="D38" s="1407">
        <f t="shared" si="0"/>
        <v>1500</v>
      </c>
    </row>
    <row r="39" spans="2:4" x14ac:dyDescent="0.2">
      <c r="B39" s="834" t="s">
        <v>680</v>
      </c>
      <c r="C39" s="806">
        <f>ROUNDUP((Salaries!D4+Salaries!D5+Salaries!D6+Salaries!D7+Salaries!D8+Salaries!D21+Salaries!D22)/3,0)</f>
        <v>2</v>
      </c>
      <c r="D39" s="1407">
        <f t="shared" si="0"/>
        <v>1500</v>
      </c>
    </row>
    <row r="40" spans="2:4" x14ac:dyDescent="0.2">
      <c r="B40" s="834" t="s">
        <v>681</v>
      </c>
      <c r="C40" s="806">
        <f>SUM(Salaries!D4:'Salaries'!D7)+Salaries!D8+Salaries!D21+Salaries!D22</f>
        <v>5</v>
      </c>
      <c r="D40" s="1407">
        <f t="shared" si="0"/>
        <v>7500</v>
      </c>
    </row>
    <row r="41" spans="2:4" x14ac:dyDescent="0.2">
      <c r="B41" s="834" t="s">
        <v>682</v>
      </c>
      <c r="C41" s="806">
        <v>1</v>
      </c>
      <c r="D41" s="1407">
        <f>C41*C8</f>
        <v>350</v>
      </c>
    </row>
    <row r="42" spans="2:4" x14ac:dyDescent="0.2">
      <c r="B42" s="834" t="s">
        <v>683</v>
      </c>
      <c r="C42" s="806">
        <v>1</v>
      </c>
      <c r="D42" s="1407">
        <f t="shared" si="0"/>
        <v>1000</v>
      </c>
    </row>
    <row r="43" spans="2:4" x14ac:dyDescent="0.2">
      <c r="B43" s="1108" t="s">
        <v>684</v>
      </c>
      <c r="C43" s="1115">
        <v>1</v>
      </c>
      <c r="D43" s="1408">
        <f t="shared" si="0"/>
        <v>469.99</v>
      </c>
    </row>
    <row r="44" spans="2:4" x14ac:dyDescent="0.2">
      <c r="B44" s="2944" t="s">
        <v>686</v>
      </c>
      <c r="C44" s="2945"/>
      <c r="D44" s="2946"/>
    </row>
    <row r="45" spans="2:4" x14ac:dyDescent="0.2">
      <c r="B45" s="908" t="s">
        <v>687</v>
      </c>
      <c r="C45" s="855">
        <v>1</v>
      </c>
      <c r="D45" s="1406">
        <f>C45*C12</f>
        <v>400</v>
      </c>
    </row>
    <row r="46" spans="2:4" x14ac:dyDescent="0.2">
      <c r="B46" s="834" t="s">
        <v>710</v>
      </c>
      <c r="C46" s="806">
        <v>1</v>
      </c>
      <c r="D46" s="1407">
        <f>C46*C13</f>
        <v>5000</v>
      </c>
    </row>
    <row r="47" spans="2:4" x14ac:dyDescent="0.2">
      <c r="B47" s="834" t="s">
        <v>689</v>
      </c>
      <c r="C47" s="806">
        <f>SUM(Salaries!D4:'Salaries'!D11)+Salaries!D15+Salaries!D18+Salaries!D19+Salaries!D21+Salaries!D22</f>
        <v>8</v>
      </c>
      <c r="D47" s="1407">
        <f>C47*C14/6</f>
        <v>9600</v>
      </c>
    </row>
    <row r="48" spans="2:4" x14ac:dyDescent="0.2">
      <c r="B48" s="834" t="s">
        <v>690</v>
      </c>
      <c r="C48" s="806">
        <v>0</v>
      </c>
      <c r="D48" s="1407">
        <f t="shared" ref="D48:D53" si="1">C48*C15</f>
        <v>0</v>
      </c>
    </row>
    <row r="49" spans="2:4" x14ac:dyDescent="0.2">
      <c r="B49" s="834" t="s">
        <v>692</v>
      </c>
      <c r="C49" s="806">
        <v>0</v>
      </c>
      <c r="D49" s="1407">
        <f t="shared" si="1"/>
        <v>0</v>
      </c>
    </row>
    <row r="50" spans="2:4" x14ac:dyDescent="0.2">
      <c r="B50" s="834" t="s">
        <v>711</v>
      </c>
      <c r="C50" s="806">
        <f>C37+C40</f>
        <v>9</v>
      </c>
      <c r="D50" s="1407">
        <f t="shared" si="1"/>
        <v>1350</v>
      </c>
    </row>
    <row r="51" spans="2:4" x14ac:dyDescent="0.2">
      <c r="B51" s="834" t="s">
        <v>696</v>
      </c>
      <c r="C51" s="806">
        <f>C37+C40</f>
        <v>9</v>
      </c>
      <c r="D51" s="1407">
        <f t="shared" si="1"/>
        <v>445.41</v>
      </c>
    </row>
    <row r="52" spans="2:4" x14ac:dyDescent="0.2">
      <c r="B52" s="834" t="s">
        <v>698</v>
      </c>
      <c r="C52" s="806">
        <f>C51</f>
        <v>9</v>
      </c>
      <c r="D52" s="1407">
        <f t="shared" si="1"/>
        <v>0</v>
      </c>
    </row>
    <row r="53" spans="2:4" x14ac:dyDescent="0.2">
      <c r="B53" s="1108" t="s">
        <v>699</v>
      </c>
      <c r="C53" s="1115">
        <f>C52</f>
        <v>9</v>
      </c>
      <c r="D53" s="1408">
        <f t="shared" si="1"/>
        <v>9441</v>
      </c>
    </row>
    <row r="54" spans="2:4" x14ac:dyDescent="0.2">
      <c r="B54" s="2944" t="s">
        <v>701</v>
      </c>
      <c r="C54" s="2945"/>
      <c r="D54" s="2946"/>
    </row>
    <row r="55" spans="2:4" x14ac:dyDescent="0.2">
      <c r="B55" s="908" t="s">
        <v>702</v>
      </c>
      <c r="C55" s="855">
        <f>C40</f>
        <v>5</v>
      </c>
      <c r="D55" s="1406">
        <f>C55*C22</f>
        <v>2400</v>
      </c>
    </row>
    <row r="56" spans="2:4" x14ac:dyDescent="0.2">
      <c r="B56" s="1110" t="s">
        <v>704</v>
      </c>
      <c r="C56" s="806">
        <f>C55</f>
        <v>5</v>
      </c>
      <c r="D56" s="1407">
        <f>C56*C23</f>
        <v>2495</v>
      </c>
    </row>
    <row r="57" spans="2:4" x14ac:dyDescent="0.2">
      <c r="B57" s="1108" t="s">
        <v>705</v>
      </c>
      <c r="C57" s="1115">
        <v>1</v>
      </c>
      <c r="D57" s="1408">
        <f>C57*C24</f>
        <v>719.88</v>
      </c>
    </row>
    <row r="58" spans="2:4" x14ac:dyDescent="0.2">
      <c r="B58" s="2944" t="s">
        <v>707</v>
      </c>
      <c r="C58" s="2945"/>
      <c r="D58" s="2946"/>
    </row>
    <row r="59" spans="2:4" x14ac:dyDescent="0.2">
      <c r="B59" s="1116" t="s">
        <v>708</v>
      </c>
      <c r="C59" s="855">
        <v>1</v>
      </c>
      <c r="D59" s="1406">
        <f>C59*C26</f>
        <v>10000</v>
      </c>
    </row>
    <row r="60" spans="2:4" x14ac:dyDescent="0.2">
      <c r="B60" s="1111" t="s">
        <v>124</v>
      </c>
      <c r="C60" s="868">
        <v>0</v>
      </c>
      <c r="D60" s="1409">
        <f>C60*C27</f>
        <v>0</v>
      </c>
    </row>
    <row r="62" spans="2:4" s="808" customFormat="1" ht="5" customHeight="1" x14ac:dyDescent="0.2"/>
    <row r="64" spans="2:4" x14ac:dyDescent="0.2">
      <c r="B64" s="843" t="s">
        <v>71</v>
      </c>
    </row>
    <row r="66" spans="2:6" x14ac:dyDescent="0.2">
      <c r="B66" s="844" t="s">
        <v>579</v>
      </c>
      <c r="C66" s="1410" t="e">
        <f ca="1">SUM(D70:D76)+1.05*SUM(D78:D86)+SUM(D88:D90)+1.05*SUM(D92:D93)</f>
        <v>#NAME?</v>
      </c>
    </row>
    <row r="68" spans="2:6" x14ac:dyDescent="0.2">
      <c r="B68" s="1117" t="s">
        <v>648</v>
      </c>
      <c r="C68" s="1136" t="s">
        <v>712</v>
      </c>
      <c r="D68" s="1137" t="s">
        <v>579</v>
      </c>
    </row>
    <row r="69" spans="2:6" x14ac:dyDescent="0.2">
      <c r="B69" s="2947" t="s">
        <v>677</v>
      </c>
      <c r="C69" s="2948"/>
      <c r="D69" s="2949"/>
    </row>
    <row r="70" spans="2:6" x14ac:dyDescent="0.2">
      <c r="B70" s="908" t="s">
        <v>678</v>
      </c>
      <c r="C70" s="1138">
        <f>SUM(Salaries!D37:'Salaries'!D39)+SUM(Salaries!D42,Salaries!D43,Salaries!D46,Salaries!D47)-C37</f>
        <v>2</v>
      </c>
      <c r="D70" s="1406">
        <f t="shared" ref="D70:D76" si="2">C70*C4</f>
        <v>2000</v>
      </c>
      <c r="F70" s="791"/>
    </row>
    <row r="71" spans="2:6" x14ac:dyDescent="0.2">
      <c r="B71" s="834" t="s">
        <v>679</v>
      </c>
      <c r="C71" s="806">
        <v>0</v>
      </c>
      <c r="D71" s="1407">
        <f t="shared" si="2"/>
        <v>0</v>
      </c>
    </row>
    <row r="72" spans="2:6" x14ac:dyDescent="0.2">
      <c r="B72" s="834" t="s">
        <v>680</v>
      </c>
      <c r="C72" s="806">
        <f>ROUNDUP(SUM(Salaries!D32:'Salaries'!D36,Salaries!D49,Salaries!D50)/3,0)-C39</f>
        <v>0</v>
      </c>
      <c r="D72" s="1407">
        <f t="shared" si="2"/>
        <v>0</v>
      </c>
    </row>
    <row r="73" spans="2:6" x14ac:dyDescent="0.2">
      <c r="B73" s="834" t="s">
        <v>681</v>
      </c>
      <c r="C73" s="809">
        <f>SUM(Salaries!D32:'Salaries'!D36,Salaries!D49,Salaries!D50)-C40</f>
        <v>0</v>
      </c>
      <c r="D73" s="1407">
        <f t="shared" si="2"/>
        <v>0</v>
      </c>
    </row>
    <row r="74" spans="2:6" x14ac:dyDescent="0.2">
      <c r="B74" s="834" t="s">
        <v>682</v>
      </c>
      <c r="C74" s="806">
        <v>0</v>
      </c>
      <c r="D74" s="1407">
        <f t="shared" si="2"/>
        <v>0</v>
      </c>
    </row>
    <row r="75" spans="2:6" x14ac:dyDescent="0.2">
      <c r="B75" s="834" t="s">
        <v>683</v>
      </c>
      <c r="C75" s="806">
        <v>0</v>
      </c>
      <c r="D75" s="1407">
        <f t="shared" si="2"/>
        <v>0</v>
      </c>
    </row>
    <row r="76" spans="2:6" x14ac:dyDescent="0.2">
      <c r="B76" s="1108" t="s">
        <v>684</v>
      </c>
      <c r="C76" s="1115">
        <v>0</v>
      </c>
      <c r="D76" s="1408">
        <f t="shared" si="2"/>
        <v>0</v>
      </c>
    </row>
    <row r="77" spans="2:6" x14ac:dyDescent="0.2">
      <c r="B77" s="2944" t="s">
        <v>686</v>
      </c>
      <c r="C77" s="2945"/>
      <c r="D77" s="2946"/>
    </row>
    <row r="78" spans="2:6" x14ac:dyDescent="0.2">
      <c r="B78" s="908" t="s">
        <v>687</v>
      </c>
      <c r="C78" s="855">
        <v>0</v>
      </c>
      <c r="D78" s="1406">
        <f>C78*C12</f>
        <v>0</v>
      </c>
    </row>
    <row r="79" spans="2:6" x14ac:dyDescent="0.2">
      <c r="B79" s="834" t="s">
        <v>710</v>
      </c>
      <c r="C79" s="806">
        <v>0</v>
      </c>
      <c r="D79" s="1407">
        <f>C79*C13</f>
        <v>0</v>
      </c>
    </row>
    <row r="80" spans="2:6" x14ac:dyDescent="0.2">
      <c r="B80" s="834" t="s">
        <v>689</v>
      </c>
      <c r="C80" s="806">
        <f>SUM(Salaries!D32:'Salaries'!D39,Salaries!D43,Salaries!D46,Salaries!D47,Salaries!D49,Salaries!D50)</f>
        <v>10</v>
      </c>
      <c r="D80" s="1407">
        <f>C80*C14</f>
        <v>72000</v>
      </c>
    </row>
    <row r="81" spans="2:4" x14ac:dyDescent="0.2">
      <c r="B81" s="834" t="s">
        <v>690</v>
      </c>
      <c r="C81" s="806" t="e">
        <f ca="1">Salaries!D50+Capacity!D42</f>
        <v>#NAME?</v>
      </c>
      <c r="D81" s="1407" t="e">
        <f ca="1">C81*C15</f>
        <v>#NAME?</v>
      </c>
    </row>
    <row r="82" spans="2:4" x14ac:dyDescent="0.2">
      <c r="B82" s="834" t="s">
        <v>692</v>
      </c>
      <c r="C82" s="806">
        <v>1</v>
      </c>
      <c r="D82" s="1411" t="e">
        <f ca="1">'Avg.Weighted Manufacturer Price'!D6 * 'BASES MODEL (Base Case)'!C37 *C16</f>
        <v>#NAME?</v>
      </c>
    </row>
    <row r="83" spans="2:4" x14ac:dyDescent="0.2">
      <c r="B83" s="834" t="s">
        <v>694</v>
      </c>
      <c r="C83" s="806">
        <f>C50+C70+C73</f>
        <v>11</v>
      </c>
      <c r="D83" s="1407">
        <f>C83*C17</f>
        <v>1650</v>
      </c>
    </row>
    <row r="84" spans="2:4" x14ac:dyDescent="0.2">
      <c r="B84" s="834" t="s">
        <v>696</v>
      </c>
      <c r="C84" s="806">
        <f>C70+C73</f>
        <v>2</v>
      </c>
      <c r="D84" s="1407">
        <f>C84*C18</f>
        <v>98.98</v>
      </c>
    </row>
    <row r="85" spans="2:4" x14ac:dyDescent="0.2">
      <c r="B85" s="834" t="s">
        <v>698</v>
      </c>
      <c r="C85" s="806">
        <f>C83</f>
        <v>11</v>
      </c>
      <c r="D85" s="1407">
        <f>C85*C19</f>
        <v>0</v>
      </c>
    </row>
    <row r="86" spans="2:4" x14ac:dyDescent="0.2">
      <c r="B86" s="1108" t="s">
        <v>699</v>
      </c>
      <c r="C86" s="1115">
        <f>C84</f>
        <v>2</v>
      </c>
      <c r="D86" s="1408">
        <f>C86*C20</f>
        <v>2098</v>
      </c>
    </row>
    <row r="87" spans="2:4" x14ac:dyDescent="0.2">
      <c r="B87" s="2944" t="s">
        <v>701</v>
      </c>
      <c r="C87" s="2945"/>
      <c r="D87" s="2946"/>
    </row>
    <row r="88" spans="2:4" x14ac:dyDescent="0.2">
      <c r="B88" s="908" t="s">
        <v>702</v>
      </c>
      <c r="C88" s="855">
        <f>C55+C73</f>
        <v>5</v>
      </c>
      <c r="D88" s="1406">
        <f>C88*C22</f>
        <v>2400</v>
      </c>
    </row>
    <row r="89" spans="2:4" x14ac:dyDescent="0.2">
      <c r="B89" s="1110" t="s">
        <v>704</v>
      </c>
      <c r="C89" s="806">
        <f>C73</f>
        <v>0</v>
      </c>
      <c r="D89" s="1407">
        <f>C89*C23</f>
        <v>0</v>
      </c>
    </row>
    <row r="90" spans="2:4" x14ac:dyDescent="0.2">
      <c r="B90" s="1108" t="s">
        <v>705</v>
      </c>
      <c r="C90" s="1115">
        <v>1</v>
      </c>
      <c r="D90" s="1408">
        <f>C90*C24</f>
        <v>719.88</v>
      </c>
    </row>
    <row r="91" spans="2:4" x14ac:dyDescent="0.2">
      <c r="B91" s="2944" t="s">
        <v>707</v>
      </c>
      <c r="C91" s="2945"/>
      <c r="D91" s="2946"/>
    </row>
    <row r="92" spans="2:4" x14ac:dyDescent="0.2">
      <c r="B92" s="1116" t="s">
        <v>708</v>
      </c>
      <c r="C92" s="855">
        <v>0</v>
      </c>
      <c r="D92" s="1406">
        <f>C92*C26</f>
        <v>0</v>
      </c>
    </row>
    <row r="93" spans="2:4" x14ac:dyDescent="0.2">
      <c r="B93" s="1111" t="s">
        <v>124</v>
      </c>
      <c r="C93" s="868">
        <v>1</v>
      </c>
      <c r="D93" s="1409">
        <f>C93*C27</f>
        <v>1500</v>
      </c>
    </row>
    <row r="95" spans="2:4" s="808" customFormat="1" ht="5" customHeight="1" x14ac:dyDescent="0.2"/>
    <row r="97" spans="2:4" x14ac:dyDescent="0.2">
      <c r="B97" s="843" t="s">
        <v>72</v>
      </c>
    </row>
    <row r="99" spans="2:4" x14ac:dyDescent="0.2">
      <c r="B99" s="844" t="s">
        <v>579</v>
      </c>
      <c r="C99" s="1410" t="e">
        <f ca="1">SUM(D103:D109)+1.05^2*SUM(D111:D119)+SUM(D121:D123)+1.05^2*SUM(D125:D126)</f>
        <v>#NAME?</v>
      </c>
    </row>
    <row r="101" spans="2:4" x14ac:dyDescent="0.2">
      <c r="B101" s="1117" t="s">
        <v>648</v>
      </c>
      <c r="C101" s="1136" t="s">
        <v>712</v>
      </c>
      <c r="D101" s="1137" t="s">
        <v>579</v>
      </c>
    </row>
    <row r="102" spans="2:4" x14ac:dyDescent="0.2">
      <c r="B102" s="2947" t="s">
        <v>677</v>
      </c>
      <c r="C102" s="2948"/>
      <c r="D102" s="2949"/>
    </row>
    <row r="103" spans="2:4" x14ac:dyDescent="0.2">
      <c r="B103" s="908" t="s">
        <v>678</v>
      </c>
      <c r="C103" s="1139">
        <f>SUM(Salaries!D65:'Salaries'!D67)+SUM(Salaries!D70,Salaries!D71,Salaries!D74,Salaries!D75)-C70-C37</f>
        <v>1</v>
      </c>
      <c r="D103" s="1406">
        <f t="shared" ref="D103:D109" si="3">C103*C4</f>
        <v>1000</v>
      </c>
    </row>
    <row r="104" spans="2:4" x14ac:dyDescent="0.2">
      <c r="B104" s="834" t="s">
        <v>679</v>
      </c>
      <c r="C104" s="806">
        <v>0</v>
      </c>
      <c r="D104" s="1407">
        <f t="shared" si="3"/>
        <v>0</v>
      </c>
    </row>
    <row r="105" spans="2:4" x14ac:dyDescent="0.2">
      <c r="B105" s="834" t="s">
        <v>680</v>
      </c>
      <c r="C105" s="806">
        <f>ROUNDUP(SUM(Salaries!D60:'Salaries'!D64,Salaries!D77,Salaries!D78)/3,0)-C72-C39</f>
        <v>0</v>
      </c>
      <c r="D105" s="1407">
        <f t="shared" si="3"/>
        <v>0</v>
      </c>
    </row>
    <row r="106" spans="2:4" x14ac:dyDescent="0.2">
      <c r="B106" s="834" t="s">
        <v>681</v>
      </c>
      <c r="C106" s="806">
        <f>Salaries!D60+Salaries!D61+Salaries!D62+Salaries!D63+Salaries!D78-C40-C73</f>
        <v>0</v>
      </c>
      <c r="D106" s="1407">
        <f t="shared" si="3"/>
        <v>0</v>
      </c>
    </row>
    <row r="107" spans="2:4" x14ac:dyDescent="0.2">
      <c r="B107" s="834" t="s">
        <v>682</v>
      </c>
      <c r="C107" s="806">
        <v>0</v>
      </c>
      <c r="D107" s="1407">
        <f t="shared" si="3"/>
        <v>0</v>
      </c>
    </row>
    <row r="108" spans="2:4" x14ac:dyDescent="0.2">
      <c r="B108" s="834" t="s">
        <v>683</v>
      </c>
      <c r="C108" s="806">
        <v>0</v>
      </c>
      <c r="D108" s="1407">
        <f t="shared" si="3"/>
        <v>0</v>
      </c>
    </row>
    <row r="109" spans="2:4" x14ac:dyDescent="0.2">
      <c r="B109" s="834" t="s">
        <v>684</v>
      </c>
      <c r="C109" s="806">
        <v>0</v>
      </c>
      <c r="D109" s="1407">
        <f t="shared" si="3"/>
        <v>0</v>
      </c>
    </row>
    <row r="110" spans="2:4" x14ac:dyDescent="0.2">
      <c r="B110" s="2950" t="s">
        <v>686</v>
      </c>
      <c r="C110" s="2951"/>
      <c r="D110" s="2952"/>
    </row>
    <row r="111" spans="2:4" x14ac:dyDescent="0.2">
      <c r="B111" s="834" t="s">
        <v>687</v>
      </c>
      <c r="C111" s="806">
        <v>0</v>
      </c>
      <c r="D111" s="1407">
        <f>C111*C12</f>
        <v>0</v>
      </c>
    </row>
    <row r="112" spans="2:4" x14ac:dyDescent="0.2">
      <c r="B112" s="834" t="s">
        <v>710</v>
      </c>
      <c r="C112" s="806">
        <v>0</v>
      </c>
      <c r="D112" s="1407">
        <f>C112*C13</f>
        <v>0</v>
      </c>
    </row>
    <row r="113" spans="2:4" x14ac:dyDescent="0.2">
      <c r="B113" s="834" t="s">
        <v>689</v>
      </c>
      <c r="C113" s="810">
        <f>SUM(Salaries!D60:'Salaries'!D67,Salaries!D71,Salaries!D74:'Salaries'!D75,Salaries!D77:'Salaries'!D78)</f>
        <v>11</v>
      </c>
      <c r="D113" s="1407">
        <f>C113*C14</f>
        <v>79200</v>
      </c>
    </row>
    <row r="114" spans="2:4" x14ac:dyDescent="0.2">
      <c r="B114" s="834" t="s">
        <v>690</v>
      </c>
      <c r="C114" s="806" t="e">
        <f ca="1">Salaries!D78+Capacity!D83</f>
        <v>#NAME?</v>
      </c>
      <c r="D114" s="1407" t="e">
        <f ca="1">C114*C15</f>
        <v>#NAME?</v>
      </c>
    </row>
    <row r="115" spans="2:4" x14ac:dyDescent="0.2">
      <c r="B115" s="834" t="s">
        <v>692</v>
      </c>
      <c r="C115" s="806">
        <v>1</v>
      </c>
      <c r="D115" s="1407" t="e">
        <f ca="1">'Avg.Weighted Manufacturer Price'!D13 * 'BASES MODEL (Base Case)'!D37 *C16</f>
        <v>#NAME?</v>
      </c>
    </row>
    <row r="116" spans="2:4" x14ac:dyDescent="0.2">
      <c r="B116" s="834" t="s">
        <v>694</v>
      </c>
      <c r="C116" s="806">
        <f>C83+C103+C106</f>
        <v>12</v>
      </c>
      <c r="D116" s="1407">
        <f>C116*C17</f>
        <v>1800</v>
      </c>
    </row>
    <row r="117" spans="2:4" x14ac:dyDescent="0.2">
      <c r="B117" s="834" t="s">
        <v>696</v>
      </c>
      <c r="C117" s="806">
        <f>C103+C106</f>
        <v>1</v>
      </c>
      <c r="D117" s="1407">
        <f>C117*C18</f>
        <v>49.49</v>
      </c>
    </row>
    <row r="118" spans="2:4" x14ac:dyDescent="0.2">
      <c r="B118" s="834" t="s">
        <v>698</v>
      </c>
      <c r="C118" s="806">
        <f>C116</f>
        <v>12</v>
      </c>
      <c r="D118" s="1407">
        <f>C118*C19</f>
        <v>0</v>
      </c>
    </row>
    <row r="119" spans="2:4" x14ac:dyDescent="0.2">
      <c r="B119" s="1108" t="s">
        <v>699</v>
      </c>
      <c r="C119" s="1115">
        <f>C117</f>
        <v>1</v>
      </c>
      <c r="D119" s="1408">
        <f>C119*C20</f>
        <v>1049</v>
      </c>
    </row>
    <row r="120" spans="2:4" x14ac:dyDescent="0.2">
      <c r="B120" s="2944" t="s">
        <v>701</v>
      </c>
      <c r="C120" s="2945"/>
      <c r="D120" s="2946"/>
    </row>
    <row r="121" spans="2:4" x14ac:dyDescent="0.2">
      <c r="B121" s="908" t="s">
        <v>702</v>
      </c>
      <c r="C121" s="855">
        <f>C88+C106</f>
        <v>5</v>
      </c>
      <c r="D121" s="1406">
        <f>C121*C22</f>
        <v>2400</v>
      </c>
    </row>
    <row r="122" spans="2:4" x14ac:dyDescent="0.2">
      <c r="B122" s="1110" t="s">
        <v>704</v>
      </c>
      <c r="C122" s="806">
        <f>C106</f>
        <v>0</v>
      </c>
      <c r="D122" s="1407">
        <f>C122*C23</f>
        <v>0</v>
      </c>
    </row>
    <row r="123" spans="2:4" x14ac:dyDescent="0.2">
      <c r="B123" s="1108" t="s">
        <v>705</v>
      </c>
      <c r="C123" s="1115">
        <v>1</v>
      </c>
      <c r="D123" s="1408">
        <f>C123*C24</f>
        <v>719.88</v>
      </c>
    </row>
    <row r="124" spans="2:4" x14ac:dyDescent="0.2">
      <c r="B124" s="2944" t="s">
        <v>707</v>
      </c>
      <c r="C124" s="2945"/>
      <c r="D124" s="2946"/>
    </row>
    <row r="125" spans="2:4" x14ac:dyDescent="0.2">
      <c r="B125" s="1116" t="s">
        <v>708</v>
      </c>
      <c r="C125" s="855">
        <v>0</v>
      </c>
      <c r="D125" s="1406">
        <f>C125*C26</f>
        <v>0</v>
      </c>
    </row>
    <row r="126" spans="2:4" x14ac:dyDescent="0.2">
      <c r="B126" s="1111" t="s">
        <v>124</v>
      </c>
      <c r="C126" s="868">
        <v>1</v>
      </c>
      <c r="D126" s="1409">
        <f>C126*C27</f>
        <v>1500</v>
      </c>
    </row>
    <row r="128" spans="2:4" s="808" customFormat="1" ht="5" customHeight="1" x14ac:dyDescent="0.2"/>
    <row r="130" spans="2:4" x14ac:dyDescent="0.2">
      <c r="B130" s="843" t="s">
        <v>73</v>
      </c>
    </row>
    <row r="132" spans="2:4" x14ac:dyDescent="0.2">
      <c r="B132" s="844" t="s">
        <v>579</v>
      </c>
      <c r="C132" s="1414" t="e">
        <f ca="1">SUM(D136:D142)+1.05^3*SUM(D144:D152)+SUM(D154:D156)+1.05^3*SUM(D158:D159)</f>
        <v>#NAME?</v>
      </c>
    </row>
    <row r="133" spans="2:4" x14ac:dyDescent="0.2">
      <c r="D133" s="811"/>
    </row>
    <row r="134" spans="2:4" x14ac:dyDescent="0.2">
      <c r="B134" s="1117" t="s">
        <v>648</v>
      </c>
      <c r="C134" s="1136" t="s">
        <v>712</v>
      </c>
      <c r="D134" s="1137" t="s">
        <v>579</v>
      </c>
    </row>
    <row r="135" spans="2:4" x14ac:dyDescent="0.2">
      <c r="B135" s="2947" t="s">
        <v>677</v>
      </c>
      <c r="C135" s="2948"/>
      <c r="D135" s="2949"/>
    </row>
    <row r="136" spans="2:4" x14ac:dyDescent="0.2">
      <c r="B136" s="908" t="s">
        <v>678</v>
      </c>
      <c r="C136" s="855">
        <f>SUM(Salaries!D93:'Salaries'!D95,Salaries!D98,Salaries!D99,Salaries!D102,Salaries!D103)</f>
        <v>10</v>
      </c>
      <c r="D136" s="1406">
        <f t="shared" ref="D136:D142" si="4">C136*C4</f>
        <v>10000</v>
      </c>
    </row>
    <row r="137" spans="2:4" x14ac:dyDescent="0.2">
      <c r="B137" s="834" t="s">
        <v>679</v>
      </c>
      <c r="C137" s="806">
        <v>0</v>
      </c>
      <c r="D137" s="1407">
        <f t="shared" si="4"/>
        <v>0</v>
      </c>
    </row>
    <row r="138" spans="2:4" x14ac:dyDescent="0.2">
      <c r="B138" s="834" t="s">
        <v>680</v>
      </c>
      <c r="C138" s="806">
        <f>ROUNDUP(SUM(Salaries!D88:'Salaries'!D92,Salaries!D105,Salaries!D106)/3,0)-C72-C39-C105</f>
        <v>1</v>
      </c>
      <c r="D138" s="1407">
        <f t="shared" si="4"/>
        <v>750</v>
      </c>
    </row>
    <row r="139" spans="2:4" x14ac:dyDescent="0.2">
      <c r="B139" s="834" t="s">
        <v>681</v>
      </c>
      <c r="C139" s="806">
        <f>SUM(Salaries!D88:'Salaries'!D92,Salaries!D105,Salaries!D106)</f>
        <v>7</v>
      </c>
      <c r="D139" s="1407">
        <f t="shared" si="4"/>
        <v>10500</v>
      </c>
    </row>
    <row r="140" spans="2:4" x14ac:dyDescent="0.2">
      <c r="B140" s="834" t="s">
        <v>682</v>
      </c>
      <c r="C140" s="806">
        <v>0</v>
      </c>
      <c r="D140" s="1407">
        <f t="shared" si="4"/>
        <v>0</v>
      </c>
    </row>
    <row r="141" spans="2:4" x14ac:dyDescent="0.2">
      <c r="B141" s="834" t="s">
        <v>683</v>
      </c>
      <c r="C141" s="806">
        <v>0</v>
      </c>
      <c r="D141" s="1407">
        <f t="shared" si="4"/>
        <v>0</v>
      </c>
    </row>
    <row r="142" spans="2:4" x14ac:dyDescent="0.2">
      <c r="B142" s="1108" t="s">
        <v>684</v>
      </c>
      <c r="C142" s="1140">
        <f>C43</f>
        <v>1</v>
      </c>
      <c r="D142" s="1408">
        <f t="shared" si="4"/>
        <v>469.99</v>
      </c>
    </row>
    <row r="143" spans="2:4" x14ac:dyDescent="0.2">
      <c r="B143" s="2944" t="s">
        <v>686</v>
      </c>
      <c r="C143" s="2945"/>
      <c r="D143" s="2946"/>
    </row>
    <row r="144" spans="2:4" x14ac:dyDescent="0.2">
      <c r="B144" s="908" t="s">
        <v>687</v>
      </c>
      <c r="C144" s="855">
        <v>0</v>
      </c>
      <c r="D144" s="1406">
        <f>C144*C12</f>
        <v>0</v>
      </c>
    </row>
    <row r="145" spans="2:4" x14ac:dyDescent="0.2">
      <c r="B145" s="834" t="s">
        <v>710</v>
      </c>
      <c r="C145" s="806">
        <v>0</v>
      </c>
      <c r="D145" s="1407">
        <f>C145*C13</f>
        <v>0</v>
      </c>
    </row>
    <row r="146" spans="2:4" x14ac:dyDescent="0.2">
      <c r="B146" s="834" t="s">
        <v>689</v>
      </c>
      <c r="C146" s="806">
        <f>SUM(Salaries!D88:'Salaries'!D95,Salaries!D99,Salaries!D102:'Salaries'!D103,Salaries!D105:'Salaries'!D106)</f>
        <v>16</v>
      </c>
      <c r="D146" s="1407" t="e">
        <f ca="1">C147*C14</f>
        <v>#NAME?</v>
      </c>
    </row>
    <row r="147" spans="2:4" x14ac:dyDescent="0.2">
      <c r="B147" s="834" t="s">
        <v>690</v>
      </c>
      <c r="C147" s="806" t="e">
        <f ca="1">Salaries!D106+Capacity!D124</f>
        <v>#NAME?</v>
      </c>
      <c r="D147" s="1407" t="e">
        <f ca="1">C147*C15</f>
        <v>#NAME?</v>
      </c>
    </row>
    <row r="148" spans="2:4" x14ac:dyDescent="0.2">
      <c r="B148" s="834" t="s">
        <v>692</v>
      </c>
      <c r="C148" s="806"/>
      <c r="D148" s="1407" t="e">
        <f ca="1">'Avg.Weighted Manufacturer Price'!D20 * 'BASES MODEL (Base Case)'!E37 *C16</f>
        <v>#NAME?</v>
      </c>
    </row>
    <row r="149" spans="2:4" x14ac:dyDescent="0.2">
      <c r="B149" s="834" t="s">
        <v>694</v>
      </c>
      <c r="C149" s="806">
        <f>C136+C139+C103+C70+C73+C106</f>
        <v>20</v>
      </c>
      <c r="D149" s="1407">
        <f>C149*C17</f>
        <v>3000</v>
      </c>
    </row>
    <row r="150" spans="2:4" x14ac:dyDescent="0.2">
      <c r="B150" s="834" t="s">
        <v>696</v>
      </c>
      <c r="C150" s="806">
        <f>C136+C139</f>
        <v>17</v>
      </c>
      <c r="D150" s="1407">
        <f>C150*C18</f>
        <v>841.33</v>
      </c>
    </row>
    <row r="151" spans="2:4" x14ac:dyDescent="0.2">
      <c r="B151" s="834" t="s">
        <v>698</v>
      </c>
      <c r="C151" s="806">
        <f>C149</f>
        <v>20</v>
      </c>
      <c r="D151" s="1407">
        <f>C151*C19</f>
        <v>0</v>
      </c>
    </row>
    <row r="152" spans="2:4" x14ac:dyDescent="0.2">
      <c r="B152" s="1108" t="s">
        <v>699</v>
      </c>
      <c r="C152" s="1115">
        <f>C150</f>
        <v>17</v>
      </c>
      <c r="D152" s="1408">
        <f>C152*C20</f>
        <v>17833</v>
      </c>
    </row>
    <row r="153" spans="2:4" x14ac:dyDescent="0.2">
      <c r="B153" s="2944" t="s">
        <v>701</v>
      </c>
      <c r="C153" s="2945"/>
      <c r="D153" s="2946"/>
    </row>
    <row r="154" spans="2:4" x14ac:dyDescent="0.2">
      <c r="B154" s="908" t="s">
        <v>702</v>
      </c>
      <c r="C154" s="855">
        <f>C139+C106+C73</f>
        <v>7</v>
      </c>
      <c r="D154" s="1406">
        <f>C154*C22</f>
        <v>3360</v>
      </c>
    </row>
    <row r="155" spans="2:4" x14ac:dyDescent="0.2">
      <c r="B155" s="1110" t="s">
        <v>704</v>
      </c>
      <c r="C155" s="806">
        <f>C139</f>
        <v>7</v>
      </c>
      <c r="D155" s="1407">
        <f>C155*C23</f>
        <v>3493</v>
      </c>
    </row>
    <row r="156" spans="2:4" x14ac:dyDescent="0.2">
      <c r="B156" s="1108" t="s">
        <v>705</v>
      </c>
      <c r="C156" s="1115">
        <v>1</v>
      </c>
      <c r="D156" s="1408">
        <f>C156*C24</f>
        <v>719.88</v>
      </c>
    </row>
    <row r="157" spans="2:4" x14ac:dyDescent="0.2">
      <c r="B157" s="2944" t="s">
        <v>707</v>
      </c>
      <c r="C157" s="2945"/>
      <c r="D157" s="2946"/>
    </row>
    <row r="158" spans="2:4" x14ac:dyDescent="0.2">
      <c r="B158" s="1116" t="s">
        <v>708</v>
      </c>
      <c r="C158" s="855">
        <v>0</v>
      </c>
      <c r="D158" s="1416">
        <f>C158*C26</f>
        <v>0</v>
      </c>
    </row>
    <row r="159" spans="2:4" x14ac:dyDescent="0.2">
      <c r="B159" s="1111" t="s">
        <v>124</v>
      </c>
      <c r="C159" s="868">
        <v>1</v>
      </c>
      <c r="D159" s="1417">
        <f>C159*C27</f>
        <v>1500</v>
      </c>
    </row>
    <row r="161" spans="2:4" s="808" customFormat="1" ht="5" customHeight="1" x14ac:dyDescent="0.2"/>
    <row r="163" spans="2:4" x14ac:dyDescent="0.2">
      <c r="B163" s="843" t="s">
        <v>74</v>
      </c>
    </row>
    <row r="165" spans="2:4" x14ac:dyDescent="0.2">
      <c r="B165" s="844" t="s">
        <v>579</v>
      </c>
      <c r="C165" s="1410" t="e">
        <f ca="1">SUM(D169:D175)+1.05^4*SUM(D177:D185)+SUM(D187:D189)+1.05^4*SUM(D191:D192)</f>
        <v>#NAME?</v>
      </c>
    </row>
    <row r="167" spans="2:4" x14ac:dyDescent="0.2">
      <c r="B167" s="1117" t="s">
        <v>648</v>
      </c>
      <c r="C167" s="1136" t="s">
        <v>712</v>
      </c>
      <c r="D167" s="1137" t="s">
        <v>579</v>
      </c>
    </row>
    <row r="168" spans="2:4" x14ac:dyDescent="0.2">
      <c r="B168" s="2947" t="s">
        <v>677</v>
      </c>
      <c r="C168" s="2948"/>
      <c r="D168" s="2949"/>
    </row>
    <row r="169" spans="2:4" x14ac:dyDescent="0.2">
      <c r="B169" s="908" t="s">
        <v>678</v>
      </c>
      <c r="C169" s="855">
        <f>SUM(Salaries!D121:'Salaries'!D123,Salaries!D126,Salaries!D127,Salaries!D130,Salaries!D131)-C136</f>
        <v>3</v>
      </c>
      <c r="D169" s="1406">
        <f t="shared" ref="D169:D175" si="5">C169*C4</f>
        <v>3000</v>
      </c>
    </row>
    <row r="170" spans="2:4" x14ac:dyDescent="0.2">
      <c r="B170" s="834" t="s">
        <v>679</v>
      </c>
      <c r="C170" s="806">
        <v>0</v>
      </c>
      <c r="D170" s="1407">
        <f t="shared" si="5"/>
        <v>0</v>
      </c>
    </row>
    <row r="171" spans="2:4" x14ac:dyDescent="0.2">
      <c r="B171" s="834" t="s">
        <v>680</v>
      </c>
      <c r="C171" s="806">
        <f>ROUNDUP(SUM(Salaries!D116:'Salaries'!D120,Salaries!D133,Salaries!D134)/3,0)-C72-C39-C105-C138</f>
        <v>0</v>
      </c>
      <c r="D171" s="1407">
        <f t="shared" si="5"/>
        <v>0</v>
      </c>
    </row>
    <row r="172" spans="2:4" x14ac:dyDescent="0.2">
      <c r="B172" s="834" t="s">
        <v>681</v>
      </c>
      <c r="C172" s="806">
        <f>SUM(Salaries!D116:'Salaries'!D120,Salaries!D1128,Salaries!D134)-C139</f>
        <v>0</v>
      </c>
      <c r="D172" s="1407">
        <f t="shared" si="5"/>
        <v>0</v>
      </c>
    </row>
    <row r="173" spans="2:4" x14ac:dyDescent="0.2">
      <c r="B173" s="834" t="s">
        <v>682</v>
      </c>
      <c r="C173" s="806">
        <v>0</v>
      </c>
      <c r="D173" s="1407">
        <f t="shared" si="5"/>
        <v>0</v>
      </c>
    </row>
    <row r="174" spans="2:4" x14ac:dyDescent="0.2">
      <c r="B174" s="834" t="s">
        <v>683</v>
      </c>
      <c r="C174" s="806">
        <v>0</v>
      </c>
      <c r="D174" s="1407">
        <f t="shared" si="5"/>
        <v>0</v>
      </c>
    </row>
    <row r="175" spans="2:4" x14ac:dyDescent="0.2">
      <c r="B175" s="1108" t="s">
        <v>684</v>
      </c>
      <c r="C175" s="1115">
        <v>0</v>
      </c>
      <c r="D175" s="1408">
        <f t="shared" si="5"/>
        <v>0</v>
      </c>
    </row>
    <row r="176" spans="2:4" x14ac:dyDescent="0.2">
      <c r="B176" s="2944" t="s">
        <v>686</v>
      </c>
      <c r="C176" s="2945"/>
      <c r="D176" s="2946"/>
    </row>
    <row r="177" spans="2:4" x14ac:dyDescent="0.2">
      <c r="B177" s="908" t="s">
        <v>687</v>
      </c>
      <c r="C177" s="855">
        <v>0</v>
      </c>
      <c r="D177" s="1419">
        <f>C177*C12</f>
        <v>0</v>
      </c>
    </row>
    <row r="178" spans="2:4" x14ac:dyDescent="0.2">
      <c r="B178" s="834" t="s">
        <v>710</v>
      </c>
      <c r="C178" s="806">
        <v>0</v>
      </c>
      <c r="D178" s="1420">
        <f>C178*C13</f>
        <v>0</v>
      </c>
    </row>
    <row r="179" spans="2:4" x14ac:dyDescent="0.2">
      <c r="B179" s="834" t="s">
        <v>689</v>
      </c>
      <c r="C179" s="806">
        <f>SUM(Salaries!D116:'Salaries'!D123,Salaries!D127,Salaries!D130:'Salaries'!D131,Salaries!D133:'Salaries'!D134)</f>
        <v>20</v>
      </c>
      <c r="D179" s="1420">
        <f>C179*C14</f>
        <v>144000</v>
      </c>
    </row>
    <row r="180" spans="2:4" x14ac:dyDescent="0.2">
      <c r="B180" s="834" t="s">
        <v>690</v>
      </c>
      <c r="C180" s="806" t="e">
        <f ca="1">Salaries!D134+Capacity!D165</f>
        <v>#NAME?</v>
      </c>
      <c r="D180" s="1420" t="e">
        <f ca="1">C180*C15</f>
        <v>#NAME?</v>
      </c>
    </row>
    <row r="181" spans="2:4" x14ac:dyDescent="0.2">
      <c r="B181" s="834" t="s">
        <v>692</v>
      </c>
      <c r="C181" s="806"/>
      <c r="D181" s="1420" t="e">
        <f ca="1">'Avg.Weighted Manufacturer Price'!D29 * 'BASES MODEL (Base Case)'!F37 *C16</f>
        <v>#NAME?</v>
      </c>
    </row>
    <row r="182" spans="2:4" x14ac:dyDescent="0.2">
      <c r="B182" s="834" t="s">
        <v>694</v>
      </c>
      <c r="C182" s="809">
        <f>C169+C172+C136+C139+C103+C106</f>
        <v>21</v>
      </c>
      <c r="D182" s="1420">
        <f>C182*C17</f>
        <v>3150</v>
      </c>
    </row>
    <row r="183" spans="2:4" x14ac:dyDescent="0.2">
      <c r="B183" s="834" t="s">
        <v>696</v>
      </c>
      <c r="C183" s="806">
        <f>C169+C172</f>
        <v>3</v>
      </c>
      <c r="D183" s="1420">
        <f>C183*C18</f>
        <v>148.47</v>
      </c>
    </row>
    <row r="184" spans="2:4" x14ac:dyDescent="0.2">
      <c r="B184" s="834" t="s">
        <v>698</v>
      </c>
      <c r="C184" s="806">
        <f>C182</f>
        <v>21</v>
      </c>
      <c r="D184" s="1420">
        <f>C184*C19</f>
        <v>0</v>
      </c>
    </row>
    <row r="185" spans="2:4" x14ac:dyDescent="0.2">
      <c r="B185" s="1108" t="s">
        <v>699</v>
      </c>
      <c r="C185" s="1115">
        <f>C183</f>
        <v>3</v>
      </c>
      <c r="D185" s="1421">
        <f>C185*C20</f>
        <v>3147</v>
      </c>
    </row>
    <row r="186" spans="2:4" x14ac:dyDescent="0.2">
      <c r="B186" s="2944" t="s">
        <v>701</v>
      </c>
      <c r="C186" s="2945"/>
      <c r="D186" s="2946"/>
    </row>
    <row r="187" spans="2:4" x14ac:dyDescent="0.2">
      <c r="B187" s="908" t="s">
        <v>702</v>
      </c>
      <c r="C187" s="855">
        <f>C154+C172</f>
        <v>7</v>
      </c>
      <c r="D187" s="1422">
        <f>C187*C22</f>
        <v>3360</v>
      </c>
    </row>
    <row r="188" spans="2:4" x14ac:dyDescent="0.2">
      <c r="B188" s="1110" t="s">
        <v>704</v>
      </c>
      <c r="C188" s="806">
        <f>C172</f>
        <v>0</v>
      </c>
      <c r="D188" s="1423">
        <f>C188*C23</f>
        <v>0</v>
      </c>
    </row>
    <row r="189" spans="2:4" x14ac:dyDescent="0.2">
      <c r="B189" s="1108" t="s">
        <v>705</v>
      </c>
      <c r="C189" s="1115">
        <v>1</v>
      </c>
      <c r="D189" s="1424">
        <f>C189*C24</f>
        <v>719.88</v>
      </c>
    </row>
    <row r="190" spans="2:4" x14ac:dyDescent="0.2">
      <c r="B190" s="2944" t="s">
        <v>707</v>
      </c>
      <c r="C190" s="2945"/>
      <c r="D190" s="2946"/>
    </row>
    <row r="191" spans="2:4" x14ac:dyDescent="0.2">
      <c r="B191" s="1116" t="s">
        <v>708</v>
      </c>
      <c r="C191" s="855">
        <v>0</v>
      </c>
      <c r="D191" s="1422">
        <f>C191*C26</f>
        <v>0</v>
      </c>
    </row>
    <row r="192" spans="2:4" x14ac:dyDescent="0.2">
      <c r="B192" s="1111" t="s">
        <v>124</v>
      </c>
      <c r="C192" s="868">
        <v>1</v>
      </c>
      <c r="D192" s="1425">
        <f>C192*C27</f>
        <v>1500</v>
      </c>
    </row>
    <row r="194" spans="2:4" s="808" customFormat="1" ht="5" customHeight="1" x14ac:dyDescent="0.2"/>
    <row r="196" spans="2:4" x14ac:dyDescent="0.2">
      <c r="B196" s="843" t="s">
        <v>75</v>
      </c>
    </row>
    <row r="198" spans="2:4" x14ac:dyDescent="0.2">
      <c r="B198" s="844" t="s">
        <v>713</v>
      </c>
      <c r="C198" s="1410" t="e">
        <f ca="1">SUM(D202:D208)+1.05^5*SUM(D210:D218)+SUM(D220:D222)+1.05^5*SUM(D224:D225)</f>
        <v>#NAME?</v>
      </c>
    </row>
    <row r="200" spans="2:4" x14ac:dyDescent="0.2">
      <c r="B200" s="1117" t="s">
        <v>648</v>
      </c>
      <c r="C200" s="1136" t="s">
        <v>712</v>
      </c>
      <c r="D200" s="1137" t="s">
        <v>579</v>
      </c>
    </row>
    <row r="201" spans="2:4" x14ac:dyDescent="0.2">
      <c r="B201" s="2947" t="s">
        <v>677</v>
      </c>
      <c r="C201" s="2948"/>
      <c r="D201" s="2949"/>
    </row>
    <row r="202" spans="2:4" x14ac:dyDescent="0.2">
      <c r="B202" s="908" t="s">
        <v>678</v>
      </c>
      <c r="C202" s="855">
        <f>SUM(Salaries!D149:'Salaries'!D151,Salaries!D154,Salaries!D155,Salaries!D158,Salaries!D159)-C136-C169</f>
        <v>0</v>
      </c>
      <c r="D202" s="1406">
        <f t="shared" ref="D202:D208" si="6">C202*C4</f>
        <v>0</v>
      </c>
    </row>
    <row r="203" spans="2:4" x14ac:dyDescent="0.2">
      <c r="B203" s="834" t="s">
        <v>679</v>
      </c>
      <c r="C203" s="806">
        <v>0</v>
      </c>
      <c r="D203" s="1407">
        <f t="shared" si="6"/>
        <v>0</v>
      </c>
    </row>
    <row r="204" spans="2:4" x14ac:dyDescent="0.2">
      <c r="B204" s="834" t="s">
        <v>680</v>
      </c>
      <c r="C204" s="806">
        <f>ROUNDUP(SUM(Salaries!D144:'Salaries'!D148,Salaries!D161,Salaries!D162)/3,0)-C72-C39-C105-C138-C171</f>
        <v>0</v>
      </c>
      <c r="D204" s="1407">
        <f t="shared" si="6"/>
        <v>0</v>
      </c>
    </row>
    <row r="205" spans="2:4" x14ac:dyDescent="0.2">
      <c r="B205" s="834" t="s">
        <v>681</v>
      </c>
      <c r="C205" s="806">
        <f>SUM(Salaries!D144:'Salaries'!D148,Salaries!D161,Salaries!D162)-C172-C139</f>
        <v>1</v>
      </c>
      <c r="D205" s="1407">
        <f t="shared" si="6"/>
        <v>1500</v>
      </c>
    </row>
    <row r="206" spans="2:4" x14ac:dyDescent="0.2">
      <c r="B206" s="834" t="s">
        <v>682</v>
      </c>
      <c r="C206" s="806">
        <v>0</v>
      </c>
      <c r="D206" s="1407">
        <f t="shared" si="6"/>
        <v>0</v>
      </c>
    </row>
    <row r="207" spans="2:4" x14ac:dyDescent="0.2">
      <c r="B207" s="834" t="s">
        <v>683</v>
      </c>
      <c r="C207" s="806">
        <v>0</v>
      </c>
      <c r="D207" s="1407">
        <f t="shared" si="6"/>
        <v>0</v>
      </c>
    </row>
    <row r="208" spans="2:4" x14ac:dyDescent="0.2">
      <c r="B208" s="1108" t="s">
        <v>684</v>
      </c>
      <c r="C208" s="1115">
        <v>0</v>
      </c>
      <c r="D208" s="1408">
        <f t="shared" si="6"/>
        <v>0</v>
      </c>
    </row>
    <row r="209" spans="2:4" x14ac:dyDescent="0.2">
      <c r="B209" s="2944" t="s">
        <v>686</v>
      </c>
      <c r="C209" s="2945"/>
      <c r="D209" s="2946"/>
    </row>
    <row r="210" spans="2:4" x14ac:dyDescent="0.2">
      <c r="B210" s="908" t="s">
        <v>687</v>
      </c>
      <c r="C210" s="855">
        <v>0</v>
      </c>
      <c r="D210" s="1406">
        <f>C210*C12</f>
        <v>0</v>
      </c>
    </row>
    <row r="211" spans="2:4" x14ac:dyDescent="0.2">
      <c r="B211" s="834" t="s">
        <v>710</v>
      </c>
      <c r="C211" s="806">
        <v>0</v>
      </c>
      <c r="D211" s="1407">
        <f>C211*C13</f>
        <v>0</v>
      </c>
    </row>
    <row r="212" spans="2:4" x14ac:dyDescent="0.2">
      <c r="B212" s="834" t="s">
        <v>689</v>
      </c>
      <c r="C212" s="806">
        <f>SUM(Salaries!D144:'Salaries'!D151,Salaries!D155,Salaries!D158:'Salaries'!D159,Salaries!D161:'Salaries'!D162)</f>
        <v>20</v>
      </c>
      <c r="D212" s="1407">
        <f>C212*C14</f>
        <v>144000</v>
      </c>
    </row>
    <row r="213" spans="2:4" x14ac:dyDescent="0.2">
      <c r="B213" s="834" t="s">
        <v>690</v>
      </c>
      <c r="C213" s="806" t="e">
        <f ca="1">Salaries!D162+Capacity!D206</f>
        <v>#NAME?</v>
      </c>
      <c r="D213" s="1407" t="e">
        <f ca="1">C213*C15</f>
        <v>#NAME?</v>
      </c>
    </row>
    <row r="214" spans="2:4" x14ac:dyDescent="0.2">
      <c r="B214" s="834" t="s">
        <v>692</v>
      </c>
      <c r="C214" s="806"/>
      <c r="D214" s="1407" t="e">
        <f ca="1">'Avg.Weighted Manufacturer Price'!D38 * 'BASES MODEL (Base Case)'!G37 *C16</f>
        <v>#NAME?</v>
      </c>
    </row>
    <row r="215" spans="2:4" x14ac:dyDescent="0.2">
      <c r="B215" s="834" t="s">
        <v>694</v>
      </c>
      <c r="C215" s="806">
        <f>C202+C205+C169+C172+C136+C139</f>
        <v>21</v>
      </c>
      <c r="D215" s="1407">
        <f>C215*C17</f>
        <v>3150</v>
      </c>
    </row>
    <row r="216" spans="2:4" x14ac:dyDescent="0.2">
      <c r="B216" s="834" t="s">
        <v>696</v>
      </c>
      <c r="C216" s="806">
        <f>C202+C205</f>
        <v>1</v>
      </c>
      <c r="D216" s="1407">
        <f>C216*C18</f>
        <v>49.49</v>
      </c>
    </row>
    <row r="217" spans="2:4" x14ac:dyDescent="0.2">
      <c r="B217" s="834" t="s">
        <v>698</v>
      </c>
      <c r="C217" s="806">
        <f>C215</f>
        <v>21</v>
      </c>
      <c r="D217" s="1407">
        <f>C217*C19</f>
        <v>0</v>
      </c>
    </row>
    <row r="218" spans="2:4" x14ac:dyDescent="0.2">
      <c r="B218" s="1108" t="s">
        <v>699</v>
      </c>
      <c r="C218" s="1115">
        <f>C216</f>
        <v>1</v>
      </c>
      <c r="D218" s="1408">
        <f>C218*C20</f>
        <v>1049</v>
      </c>
    </row>
    <row r="219" spans="2:4" x14ac:dyDescent="0.2">
      <c r="B219" s="2944" t="s">
        <v>701</v>
      </c>
      <c r="C219" s="2945"/>
      <c r="D219" s="2946"/>
    </row>
    <row r="220" spans="2:4" x14ac:dyDescent="0.2">
      <c r="B220" s="908" t="s">
        <v>702</v>
      </c>
      <c r="C220" s="855">
        <f>C187+C205</f>
        <v>8</v>
      </c>
      <c r="D220" s="1406">
        <f>C220*C22</f>
        <v>3840</v>
      </c>
    </row>
    <row r="221" spans="2:4" x14ac:dyDescent="0.2">
      <c r="B221" s="1110" t="s">
        <v>704</v>
      </c>
      <c r="C221" s="806">
        <f>C205</f>
        <v>1</v>
      </c>
      <c r="D221" s="1407">
        <f>C221*C23</f>
        <v>499</v>
      </c>
    </row>
    <row r="222" spans="2:4" x14ac:dyDescent="0.2">
      <c r="B222" s="1108" t="s">
        <v>705</v>
      </c>
      <c r="C222" s="1115">
        <v>1</v>
      </c>
      <c r="D222" s="1408">
        <f>C222*C24</f>
        <v>719.88</v>
      </c>
    </row>
    <row r="223" spans="2:4" x14ac:dyDescent="0.2">
      <c r="B223" s="2944" t="s">
        <v>707</v>
      </c>
      <c r="C223" s="2945"/>
      <c r="D223" s="2946"/>
    </row>
    <row r="224" spans="2:4" x14ac:dyDescent="0.2">
      <c r="B224" s="1116" t="s">
        <v>708</v>
      </c>
      <c r="C224" s="855">
        <v>0</v>
      </c>
      <c r="D224" s="1406">
        <f>C224*C26</f>
        <v>0</v>
      </c>
    </row>
    <row r="225" spans="2:4" x14ac:dyDescent="0.2">
      <c r="B225" s="1111" t="s">
        <v>124</v>
      </c>
      <c r="C225" s="868">
        <v>0</v>
      </c>
      <c r="D225" s="1409">
        <f>C225*C27</f>
        <v>0</v>
      </c>
    </row>
  </sheetData>
  <mergeCells count="29">
    <mergeCell ref="B3:D3"/>
    <mergeCell ref="B11:D11"/>
    <mergeCell ref="B21:D21"/>
    <mergeCell ref="B25:D25"/>
    <mergeCell ref="B36:D36"/>
    <mergeCell ref="B77:D77"/>
    <mergeCell ref="B110:D110"/>
    <mergeCell ref="B143:D143"/>
    <mergeCell ref="B176:D176"/>
    <mergeCell ref="B69:D69"/>
    <mergeCell ref="B102:D102"/>
    <mergeCell ref="B135:D135"/>
    <mergeCell ref="B168:D168"/>
    <mergeCell ref="B2:D2"/>
    <mergeCell ref="B223:D223"/>
    <mergeCell ref="B54:D54"/>
    <mergeCell ref="B219:D219"/>
    <mergeCell ref="B58:D58"/>
    <mergeCell ref="B91:D91"/>
    <mergeCell ref="B124:D124"/>
    <mergeCell ref="B190:D190"/>
    <mergeCell ref="B209:D209"/>
    <mergeCell ref="B87:D87"/>
    <mergeCell ref="B120:D120"/>
    <mergeCell ref="B153:D153"/>
    <mergeCell ref="B157:D157"/>
    <mergeCell ref="B186:D186"/>
    <mergeCell ref="B201:D201"/>
    <mergeCell ref="B44:D44"/>
  </mergeCells>
  <phoneticPr fontId="59" type="noConversion"/>
  <hyperlinks>
    <hyperlink ref="A1"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P45"/>
  <sheetViews>
    <sheetView showGridLines="0" workbookViewId="0">
      <selection activeCell="C4" sqref="C4"/>
    </sheetView>
  </sheetViews>
  <sheetFormatPr baseColWidth="10" defaultColWidth="8.83203125" defaultRowHeight="16" x14ac:dyDescent="0.2"/>
  <cols>
    <col min="1" max="1" width="5.5" style="745" customWidth="1"/>
    <col min="2" max="2" width="32.6640625" style="745" customWidth="1"/>
    <col min="3" max="3" width="12.83203125" style="745" customWidth="1"/>
    <col min="4" max="4" width="13.5" style="745" customWidth="1"/>
    <col min="5" max="5" width="8.83203125" style="745"/>
    <col min="6" max="6" width="12.5" style="745" customWidth="1"/>
    <col min="7" max="7" width="14.1640625" style="745" customWidth="1"/>
    <col min="8" max="8" width="11.6640625" style="745" customWidth="1"/>
    <col min="9" max="9" width="8.83203125" style="745"/>
    <col min="10" max="10" width="29.6640625" style="745" customWidth="1"/>
    <col min="11" max="11" width="15.6640625" style="745" customWidth="1"/>
    <col min="12" max="12" width="10.1640625" style="745" customWidth="1"/>
    <col min="13" max="13" width="9.83203125" style="745" customWidth="1"/>
    <col min="14" max="14" width="13.1640625" style="745" customWidth="1"/>
    <col min="15" max="15" width="9.6640625" style="745" customWidth="1"/>
    <col min="16" max="16" width="11.1640625" style="745" customWidth="1"/>
    <col min="17" max="16384" width="8.83203125" style="745"/>
  </cols>
  <sheetData>
    <row r="1" spans="1:16" x14ac:dyDescent="0.2">
      <c r="A1" s="1771" t="s">
        <v>38</v>
      </c>
    </row>
    <row r="2" spans="1:16" ht="28.5" customHeight="1" x14ac:dyDescent="0.2">
      <c r="B2" s="2090" t="s">
        <v>734</v>
      </c>
      <c r="C2" s="2098" t="s">
        <v>735</v>
      </c>
      <c r="D2" s="2098" t="s">
        <v>736</v>
      </c>
      <c r="E2" s="2098" t="s">
        <v>737</v>
      </c>
      <c r="F2" s="2098" t="s">
        <v>738</v>
      </c>
      <c r="G2" s="2098" t="s">
        <v>739</v>
      </c>
      <c r="H2" s="2099" t="s">
        <v>740</v>
      </c>
      <c r="J2" s="2141" t="s">
        <v>741</v>
      </c>
      <c r="K2" s="2163" t="s">
        <v>742</v>
      </c>
      <c r="L2" s="2164" t="s">
        <v>743</v>
      </c>
      <c r="M2" s="2165" t="s">
        <v>744</v>
      </c>
      <c r="N2" s="2164" t="s">
        <v>745</v>
      </c>
      <c r="O2" s="2164" t="s">
        <v>746</v>
      </c>
      <c r="P2" s="2166" t="s">
        <v>747</v>
      </c>
    </row>
    <row r="3" spans="1:16" ht="18.75" customHeight="1" x14ac:dyDescent="0.2">
      <c r="B3" s="2132" t="s">
        <v>295</v>
      </c>
      <c r="C3" s="2116"/>
      <c r="D3" s="2116"/>
      <c r="E3" s="2116"/>
      <c r="F3" s="2116"/>
      <c r="G3" s="2116"/>
      <c r="H3" s="2117"/>
      <c r="J3" s="2144" t="s">
        <v>748</v>
      </c>
      <c r="K3" s="1903"/>
      <c r="L3" s="1904"/>
      <c r="M3" s="1905"/>
      <c r="N3" s="1906"/>
      <c r="O3" s="1904"/>
      <c r="P3" s="1907"/>
    </row>
    <row r="4" spans="1:16" x14ac:dyDescent="0.2">
      <c r="B4" s="1908" t="s">
        <v>749</v>
      </c>
      <c r="C4" s="1909">
        <v>8712.6101694915251</v>
      </c>
      <c r="D4" s="2069">
        <v>0.15254237288135594</v>
      </c>
      <c r="E4" s="2062">
        <v>57.15</v>
      </c>
      <c r="F4" s="2062">
        <v>8.7177966101694917</v>
      </c>
      <c r="G4" s="2064">
        <v>0.5</v>
      </c>
      <c r="H4" s="1910">
        <v>127</v>
      </c>
      <c r="J4" s="1911" t="s">
        <v>750</v>
      </c>
      <c r="K4" s="1912">
        <v>127</v>
      </c>
      <c r="L4" s="1913">
        <v>63.5</v>
      </c>
      <c r="M4" s="1914">
        <v>0.5</v>
      </c>
      <c r="N4" s="1913">
        <v>6.3500000000000005</v>
      </c>
      <c r="O4" s="1915">
        <v>0.1</v>
      </c>
      <c r="P4" s="1916">
        <v>57.15</v>
      </c>
    </row>
    <row r="5" spans="1:16" x14ac:dyDescent="0.2">
      <c r="B5" s="1908" t="s">
        <v>751</v>
      </c>
      <c r="C5" s="1909">
        <v>24201.694915254237</v>
      </c>
      <c r="D5" s="2070">
        <v>0.42372881355932202</v>
      </c>
      <c r="E5" s="2062">
        <v>87</v>
      </c>
      <c r="F5" s="2062">
        <v>36.864406779661017</v>
      </c>
      <c r="G5" s="2064">
        <v>0.31496062992125984</v>
      </c>
      <c r="H5" s="1910">
        <v>127</v>
      </c>
      <c r="J5" s="1917" t="s">
        <v>752</v>
      </c>
      <c r="K5" s="1912">
        <v>127</v>
      </c>
      <c r="L5" s="1913">
        <v>63.5</v>
      </c>
      <c r="M5" s="1914">
        <v>0.5</v>
      </c>
      <c r="N5" s="1913">
        <v>6.3500000000000005</v>
      </c>
      <c r="O5" s="1915">
        <v>0.1</v>
      </c>
      <c r="P5" s="1916">
        <v>57.15</v>
      </c>
    </row>
    <row r="6" spans="1:16" x14ac:dyDescent="0.2">
      <c r="B6" s="1918" t="s">
        <v>753</v>
      </c>
      <c r="C6" s="1909">
        <v>24201.694915254237</v>
      </c>
      <c r="D6" s="2070">
        <v>0.42372881355932202</v>
      </c>
      <c r="E6" s="2063">
        <v>82.550000000000011</v>
      </c>
      <c r="F6" s="2063">
        <v>34.978813559322035</v>
      </c>
      <c r="G6" s="2065">
        <v>0.35</v>
      </c>
      <c r="H6" s="1919">
        <v>127</v>
      </c>
      <c r="J6" s="1917" t="s">
        <v>754</v>
      </c>
      <c r="K6" s="1912">
        <v>127</v>
      </c>
      <c r="L6" s="1913">
        <v>63.5</v>
      </c>
      <c r="M6" s="1914">
        <v>0.5</v>
      </c>
      <c r="N6" s="1913">
        <v>6.3500000000000005</v>
      </c>
      <c r="O6" s="1915">
        <v>0.1</v>
      </c>
      <c r="P6" s="1916">
        <v>57.15</v>
      </c>
    </row>
    <row r="7" spans="1:16" x14ac:dyDescent="0.2">
      <c r="B7" s="1918" t="s">
        <v>755</v>
      </c>
      <c r="C7" s="1920"/>
      <c r="D7" s="1921"/>
      <c r="E7" s="1922"/>
      <c r="F7" s="1922"/>
      <c r="G7" s="1922"/>
      <c r="H7" s="1923"/>
      <c r="J7" s="1917" t="s">
        <v>756</v>
      </c>
      <c r="K7" s="1912">
        <v>127</v>
      </c>
      <c r="L7" s="1913">
        <v>63.5</v>
      </c>
      <c r="M7" s="1914">
        <v>0.5</v>
      </c>
      <c r="N7" s="1913">
        <v>6.3500000000000005</v>
      </c>
      <c r="O7" s="1915">
        <v>0.1</v>
      </c>
      <c r="P7" s="1916">
        <v>57.15</v>
      </c>
    </row>
    <row r="8" spans="1:16" x14ac:dyDescent="0.2">
      <c r="B8" s="1924" t="s">
        <v>757</v>
      </c>
      <c r="C8" s="1925"/>
      <c r="D8" s="1921"/>
      <c r="E8" s="1922"/>
      <c r="F8" s="1922"/>
      <c r="G8" s="1922"/>
      <c r="H8" s="1923"/>
      <c r="J8" s="1926" t="s">
        <v>758</v>
      </c>
      <c r="K8" s="1912">
        <v>127</v>
      </c>
      <c r="L8" s="1913">
        <v>63.5</v>
      </c>
      <c r="M8" s="1927">
        <v>0.5</v>
      </c>
      <c r="N8" s="1913">
        <v>6.3500000000000005</v>
      </c>
      <c r="O8" s="1915">
        <v>0.1</v>
      </c>
      <c r="P8" s="1916">
        <v>57.15</v>
      </c>
    </row>
    <row r="9" spans="1:16" ht="32.25" customHeight="1" x14ac:dyDescent="0.2">
      <c r="B9" s="2130" t="s">
        <v>759</v>
      </c>
      <c r="C9" s="2114">
        <v>57116</v>
      </c>
      <c r="D9" s="1928">
        <v>1</v>
      </c>
      <c r="E9" s="1929"/>
      <c r="F9" s="2115">
        <v>80.561016949152545</v>
      </c>
      <c r="G9" s="1930"/>
      <c r="H9" s="2110">
        <v>127</v>
      </c>
      <c r="J9" s="2148" t="s">
        <v>760</v>
      </c>
      <c r="K9" s="1931"/>
      <c r="L9" s="1932"/>
      <c r="M9" s="1933"/>
      <c r="N9" s="1932"/>
      <c r="O9" s="1933"/>
      <c r="P9" s="1934"/>
    </row>
    <row r="10" spans="1:16" x14ac:dyDescent="0.2">
      <c r="B10" s="2131" t="s">
        <v>350</v>
      </c>
      <c r="C10" s="2118"/>
      <c r="D10" s="2119"/>
      <c r="E10" s="2119"/>
      <c r="F10" s="2119"/>
      <c r="G10" s="2119"/>
      <c r="H10" s="2120"/>
      <c r="J10" s="1911" t="s">
        <v>754</v>
      </c>
      <c r="K10" s="1912">
        <v>116</v>
      </c>
      <c r="L10" s="1913">
        <v>58</v>
      </c>
      <c r="M10" s="1914">
        <v>0.5</v>
      </c>
      <c r="N10" s="1913">
        <v>5.8000000000000007</v>
      </c>
      <c r="O10" s="1915">
        <v>0.1</v>
      </c>
      <c r="P10" s="1916">
        <v>52.2</v>
      </c>
    </row>
    <row r="11" spans="1:16" x14ac:dyDescent="0.2">
      <c r="B11" s="1908" t="s">
        <v>749</v>
      </c>
      <c r="C11" s="1935">
        <v>18284.566221142162</v>
      </c>
      <c r="D11" s="1936">
        <v>0.24058323207776425</v>
      </c>
      <c r="E11" s="2071">
        <v>57.15</v>
      </c>
      <c r="F11" s="2071">
        <v>13.749331713244226</v>
      </c>
      <c r="G11" s="2073">
        <v>0.5</v>
      </c>
      <c r="H11" s="1937">
        <v>127</v>
      </c>
      <c r="J11" s="1917" t="s">
        <v>756</v>
      </c>
      <c r="K11" s="1912">
        <v>116</v>
      </c>
      <c r="L11" s="1913">
        <v>58</v>
      </c>
      <c r="M11" s="1914">
        <v>0.5</v>
      </c>
      <c r="N11" s="1913">
        <v>5.8000000000000007</v>
      </c>
      <c r="O11" s="1915">
        <v>0.1</v>
      </c>
      <c r="P11" s="1916">
        <v>52.2</v>
      </c>
    </row>
    <row r="12" spans="1:16" x14ac:dyDescent="0.2">
      <c r="B12" s="1908" t="s">
        <v>751</v>
      </c>
      <c r="C12" s="1935">
        <v>28858.216889428921</v>
      </c>
      <c r="D12" s="1936">
        <v>0.37970838396111789</v>
      </c>
      <c r="E12" s="2071">
        <v>87</v>
      </c>
      <c r="F12" s="2071">
        <v>33.034629404617256</v>
      </c>
      <c r="G12" s="2073">
        <v>0.31496062992125984</v>
      </c>
      <c r="H12" s="1937">
        <v>127</v>
      </c>
      <c r="J12" s="1926" t="s">
        <v>758</v>
      </c>
      <c r="K12" s="1912">
        <v>116</v>
      </c>
      <c r="L12" s="1913">
        <v>58</v>
      </c>
      <c r="M12" s="1927">
        <v>0.5</v>
      </c>
      <c r="N12" s="1913">
        <v>5.8000000000000007</v>
      </c>
      <c r="O12" s="1915">
        <v>0.1</v>
      </c>
      <c r="P12" s="1916">
        <v>52.2</v>
      </c>
    </row>
    <row r="13" spans="1:16" ht="16.5" customHeight="1" x14ac:dyDescent="0.2">
      <c r="B13" s="1918" t="s">
        <v>753</v>
      </c>
      <c r="C13" s="1935">
        <v>28858.216889428921</v>
      </c>
      <c r="D13" s="1936">
        <v>0.37970838396111789</v>
      </c>
      <c r="E13" s="2071">
        <v>82.550000000000011</v>
      </c>
      <c r="F13" s="2071">
        <v>31.344927095990286</v>
      </c>
      <c r="G13" s="2073">
        <v>0.35</v>
      </c>
      <c r="H13" s="1937">
        <v>127</v>
      </c>
      <c r="J13" s="2148" t="s">
        <v>761</v>
      </c>
      <c r="K13" s="1931"/>
      <c r="L13" s="1932"/>
      <c r="M13" s="1933"/>
      <c r="N13" s="1932"/>
      <c r="O13" s="1933"/>
      <c r="P13" s="1934"/>
    </row>
    <row r="14" spans="1:16" x14ac:dyDescent="0.2">
      <c r="B14" s="1918" t="s">
        <v>755</v>
      </c>
      <c r="C14" s="1920"/>
      <c r="D14" s="1921"/>
      <c r="E14" s="1922"/>
      <c r="F14" s="1922"/>
      <c r="G14" s="1922"/>
      <c r="H14" s="1923"/>
      <c r="J14" s="1911" t="s">
        <v>754</v>
      </c>
      <c r="K14" s="1912">
        <v>116</v>
      </c>
      <c r="L14" s="1913">
        <v>58</v>
      </c>
      <c r="M14" s="1914">
        <v>0.5</v>
      </c>
      <c r="N14" s="1913">
        <v>5.8000000000000007</v>
      </c>
      <c r="O14" s="1915">
        <v>0.1</v>
      </c>
      <c r="P14" s="1916">
        <v>52.2</v>
      </c>
    </row>
    <row r="15" spans="1:16" x14ac:dyDescent="0.2">
      <c r="B15" s="1924" t="s">
        <v>757</v>
      </c>
      <c r="C15" s="1925"/>
      <c r="D15" s="1921"/>
      <c r="E15" s="1922"/>
      <c r="F15" s="1922"/>
      <c r="G15" s="1922"/>
      <c r="H15" s="1923"/>
      <c r="J15" s="1917" t="s">
        <v>756</v>
      </c>
      <c r="K15" s="1912">
        <v>116</v>
      </c>
      <c r="L15" s="1913">
        <v>58</v>
      </c>
      <c r="M15" s="1914">
        <v>0.5</v>
      </c>
      <c r="N15" s="1913">
        <v>5.8000000000000007</v>
      </c>
      <c r="O15" s="1915">
        <v>0.1</v>
      </c>
      <c r="P15" s="1916">
        <v>52.2</v>
      </c>
    </row>
    <row r="16" spans="1:16" ht="32" x14ac:dyDescent="0.2">
      <c r="B16" s="2130" t="s">
        <v>759</v>
      </c>
      <c r="C16" s="2108">
        <v>76001</v>
      </c>
      <c r="D16" s="1938">
        <v>1</v>
      </c>
      <c r="E16" s="1939"/>
      <c r="F16" s="2109">
        <v>78.128888213851766</v>
      </c>
      <c r="G16" s="1930"/>
      <c r="H16" s="2110">
        <v>127</v>
      </c>
      <c r="J16" s="1926" t="s">
        <v>758</v>
      </c>
      <c r="K16" s="1912">
        <v>116</v>
      </c>
      <c r="L16" s="1913">
        <v>58</v>
      </c>
      <c r="M16" s="1927">
        <v>0.5</v>
      </c>
      <c r="N16" s="1913">
        <v>5.8000000000000007</v>
      </c>
      <c r="O16" s="1915">
        <v>0.1</v>
      </c>
      <c r="P16" s="1916">
        <v>52.2</v>
      </c>
    </row>
    <row r="17" spans="2:16" ht="16.5" customHeight="1" x14ac:dyDescent="0.2">
      <c r="B17" s="2131" t="s">
        <v>351</v>
      </c>
      <c r="C17" s="2118"/>
      <c r="D17" s="2119"/>
      <c r="E17" s="2119"/>
      <c r="F17" s="2119"/>
      <c r="G17" s="2119"/>
      <c r="H17" s="2120"/>
      <c r="J17" s="2148" t="s">
        <v>762</v>
      </c>
      <c r="K17" s="1931"/>
      <c r="L17" s="1932"/>
      <c r="M17" s="1933"/>
      <c r="N17" s="1932"/>
      <c r="O17" s="1933"/>
      <c r="P17" s="1934"/>
    </row>
    <row r="18" spans="2:16" x14ac:dyDescent="0.2">
      <c r="B18" s="1908" t="s">
        <v>749</v>
      </c>
      <c r="C18" s="1935">
        <v>8530.8609387293691</v>
      </c>
      <c r="D18" s="1936">
        <v>6.3588164244617315E-2</v>
      </c>
      <c r="E18" s="2071">
        <v>57.15</v>
      </c>
      <c r="F18" s="2071">
        <v>3.6340635865798796</v>
      </c>
      <c r="G18" s="2073">
        <v>0.5</v>
      </c>
      <c r="H18" s="1937">
        <v>127</v>
      </c>
      <c r="J18" s="1911" t="s">
        <v>754</v>
      </c>
      <c r="K18" s="1912">
        <v>89</v>
      </c>
      <c r="L18" s="2100">
        <v>31.15</v>
      </c>
      <c r="M18" s="2121">
        <v>0.35</v>
      </c>
      <c r="N18" s="2100">
        <v>3.1150000000000002</v>
      </c>
      <c r="O18" s="2127">
        <v>0.1</v>
      </c>
      <c r="P18" s="2101">
        <v>54.734999999999999</v>
      </c>
    </row>
    <row r="19" spans="2:16" x14ac:dyDescent="0.2">
      <c r="B19" s="1908" t="s">
        <v>751</v>
      </c>
      <c r="C19" s="1935">
        <v>50686.250729198575</v>
      </c>
      <c r="D19" s="1936">
        <v>0.37781012484681176</v>
      </c>
      <c r="E19" s="2071">
        <v>87</v>
      </c>
      <c r="F19" s="2071">
        <v>32.869480861672621</v>
      </c>
      <c r="G19" s="2073">
        <v>0.31496062992125984</v>
      </c>
      <c r="H19" s="1937">
        <v>127</v>
      </c>
      <c r="J19" s="1917" t="s">
        <v>756</v>
      </c>
      <c r="K19" s="1912">
        <v>89</v>
      </c>
      <c r="L19" s="2100">
        <v>31.15</v>
      </c>
      <c r="M19" s="2121">
        <v>0.35</v>
      </c>
      <c r="N19" s="2100">
        <v>3.1150000000000002</v>
      </c>
      <c r="O19" s="2127">
        <v>0.1</v>
      </c>
      <c r="P19" s="2101">
        <v>54.734999999999999</v>
      </c>
    </row>
    <row r="20" spans="2:16" x14ac:dyDescent="0.2">
      <c r="B20" s="1918" t="s">
        <v>753</v>
      </c>
      <c r="C20" s="1935">
        <v>50686.250729198575</v>
      </c>
      <c r="D20" s="1936">
        <v>0.37781012484681176</v>
      </c>
      <c r="E20" s="2071">
        <v>82.550000000000011</v>
      </c>
      <c r="F20" s="2071">
        <v>31.188225806104313</v>
      </c>
      <c r="G20" s="2073">
        <v>0.35</v>
      </c>
      <c r="H20" s="1937">
        <v>127</v>
      </c>
      <c r="J20" s="1926" t="s">
        <v>758</v>
      </c>
      <c r="K20" s="1912">
        <v>89</v>
      </c>
      <c r="L20" s="2100">
        <v>31.15</v>
      </c>
      <c r="M20" s="2122">
        <v>0.35</v>
      </c>
      <c r="N20" s="2100">
        <v>3.1150000000000002</v>
      </c>
      <c r="O20" s="2127">
        <v>0.1</v>
      </c>
      <c r="P20" s="2101">
        <v>54.734999999999999</v>
      </c>
    </row>
    <row r="21" spans="2:16" ht="17.25" customHeight="1" x14ac:dyDescent="0.2">
      <c r="B21" s="1918" t="s">
        <v>763</v>
      </c>
      <c r="C21" s="1935">
        <v>4585.3588221265345</v>
      </c>
      <c r="D21" s="1940">
        <v>3.4178795316913896E-2</v>
      </c>
      <c r="E21" s="2078">
        <v>52.2</v>
      </c>
      <c r="F21" s="2078">
        <v>1.7841331155429054</v>
      </c>
      <c r="G21" s="2074">
        <v>0.5</v>
      </c>
      <c r="H21" s="1941">
        <v>116</v>
      </c>
      <c r="J21" s="2148" t="s">
        <v>764</v>
      </c>
      <c r="K21" s="1931"/>
      <c r="L21" s="1932"/>
      <c r="M21" s="1933"/>
      <c r="N21" s="1932"/>
      <c r="O21" s="1933"/>
      <c r="P21" s="1934"/>
    </row>
    <row r="22" spans="2:16" x14ac:dyDescent="0.2">
      <c r="B22" s="1924" t="s">
        <v>765</v>
      </c>
      <c r="C22" s="1935">
        <v>1404.5885522558826</v>
      </c>
      <c r="D22" s="1940">
        <v>1.0469659299153854E-2</v>
      </c>
      <c r="E22" s="2078">
        <v>52.2</v>
      </c>
      <c r="F22" s="2078">
        <v>0.54651621541583117</v>
      </c>
      <c r="G22" s="2074">
        <v>0.5</v>
      </c>
      <c r="H22" s="1941">
        <v>116</v>
      </c>
      <c r="J22" s="1911" t="s">
        <v>756</v>
      </c>
      <c r="K22" s="1912">
        <v>116</v>
      </c>
      <c r="L22" s="2100">
        <v>46.400000000000006</v>
      </c>
      <c r="M22" s="2121">
        <v>0.4</v>
      </c>
      <c r="N22" s="2100">
        <v>4.6400000000000006</v>
      </c>
      <c r="O22" s="2127">
        <v>0.1</v>
      </c>
      <c r="P22" s="2101">
        <v>64.959999999999994</v>
      </c>
    </row>
    <row r="23" spans="2:16" x14ac:dyDescent="0.2">
      <c r="B23" s="1924" t="s">
        <v>766</v>
      </c>
      <c r="C23" s="1935">
        <v>18266.604779950598</v>
      </c>
      <c r="D23" s="1940">
        <v>0.13615740231630316</v>
      </c>
      <c r="E23" s="2078">
        <v>54.734999999999999</v>
      </c>
      <c r="F23" s="2078">
        <v>7.4525754157828539</v>
      </c>
      <c r="G23" s="2074">
        <v>0.35</v>
      </c>
      <c r="H23" s="1941">
        <v>89</v>
      </c>
      <c r="J23" s="1926" t="s">
        <v>758</v>
      </c>
      <c r="K23" s="1912">
        <v>116</v>
      </c>
      <c r="L23" s="2100">
        <v>46.400000000000006</v>
      </c>
      <c r="M23" s="2122">
        <v>0.4</v>
      </c>
      <c r="N23" s="2100">
        <v>4.6400000000000006</v>
      </c>
      <c r="O23" s="2128">
        <v>0.1</v>
      </c>
      <c r="P23" s="2101">
        <v>64.959999999999994</v>
      </c>
    </row>
    <row r="24" spans="2:16" x14ac:dyDescent="0.2">
      <c r="B24" s="1924" t="s">
        <v>757</v>
      </c>
      <c r="C24" s="1925"/>
      <c r="D24" s="1921"/>
      <c r="E24" s="1922"/>
      <c r="F24" s="1922"/>
      <c r="G24" s="1922"/>
      <c r="H24" s="1923"/>
      <c r="J24" s="2151" t="s">
        <v>767</v>
      </c>
      <c r="K24" s="1942"/>
      <c r="L24" s="1943"/>
      <c r="M24" s="1944"/>
      <c r="N24" s="1943"/>
      <c r="O24" s="1944"/>
      <c r="P24" s="1945"/>
    </row>
    <row r="25" spans="2:16" ht="32" x14ac:dyDescent="0.2">
      <c r="B25" s="2130" t="s">
        <v>759</v>
      </c>
      <c r="C25" s="2108">
        <v>134158</v>
      </c>
      <c r="D25" s="1938">
        <v>1.0000142708706119</v>
      </c>
      <c r="E25" s="1939"/>
      <c r="F25" s="2109">
        <v>77.474995001098407</v>
      </c>
      <c r="G25" s="1930"/>
      <c r="H25" s="2110">
        <v>117</v>
      </c>
      <c r="J25" s="1946" t="s">
        <v>750</v>
      </c>
      <c r="K25" s="1947">
        <v>127</v>
      </c>
      <c r="L25" s="2133">
        <v>44.449999999999996</v>
      </c>
      <c r="M25" s="2137">
        <v>0.35</v>
      </c>
      <c r="N25" s="2139">
        <v>82.550000000000011</v>
      </c>
      <c r="O25" s="1948"/>
      <c r="P25" s="2142">
        <v>82.550000000000011</v>
      </c>
    </row>
    <row r="26" spans="2:16" x14ac:dyDescent="0.2">
      <c r="B26" s="2131" t="s">
        <v>352</v>
      </c>
      <c r="C26" s="2118"/>
      <c r="D26" s="2119"/>
      <c r="E26" s="2119"/>
      <c r="F26" s="2119"/>
      <c r="G26" s="2119"/>
      <c r="H26" s="2120"/>
      <c r="J26" s="1946" t="s">
        <v>752</v>
      </c>
      <c r="K26" s="1947">
        <v>127</v>
      </c>
      <c r="L26" s="2133">
        <v>44.449999999999996</v>
      </c>
      <c r="M26" s="2137">
        <v>0.35</v>
      </c>
      <c r="N26" s="2139">
        <v>82.550000000000011</v>
      </c>
      <c r="O26" s="1948"/>
      <c r="P26" s="2142">
        <v>82.550000000000011</v>
      </c>
    </row>
    <row r="27" spans="2:16" x14ac:dyDescent="0.2">
      <c r="B27" s="1908" t="s">
        <v>749</v>
      </c>
      <c r="C27" s="1949">
        <v>16842.428822959271</v>
      </c>
      <c r="D27" s="1950">
        <v>8.3101082639900889E-2</v>
      </c>
      <c r="E27" s="2062">
        <v>57.15</v>
      </c>
      <c r="F27" s="2062">
        <v>4.7492268728703353</v>
      </c>
      <c r="G27" s="2064">
        <v>0.5</v>
      </c>
      <c r="H27" s="1910">
        <v>127</v>
      </c>
      <c r="J27" s="1946" t="s">
        <v>754</v>
      </c>
      <c r="K27" s="1947">
        <v>127</v>
      </c>
      <c r="L27" s="2133">
        <v>44.449999999999996</v>
      </c>
      <c r="M27" s="2137">
        <v>0.35</v>
      </c>
      <c r="N27" s="2139">
        <v>82.550000000000011</v>
      </c>
      <c r="O27" s="1948"/>
      <c r="P27" s="2142">
        <v>82.550000000000011</v>
      </c>
    </row>
    <row r="28" spans="2:16" x14ac:dyDescent="0.2">
      <c r="B28" s="1908" t="s">
        <v>751</v>
      </c>
      <c r="C28" s="1949">
        <v>56165.728950837532</v>
      </c>
      <c r="D28" s="1951">
        <v>0.27712350351222914</v>
      </c>
      <c r="E28" s="2062">
        <v>87</v>
      </c>
      <c r="F28" s="2062">
        <v>24.109744805563935</v>
      </c>
      <c r="G28" s="2064">
        <v>0.31496062992125984</v>
      </c>
      <c r="H28" s="1910">
        <v>127</v>
      </c>
      <c r="J28" s="1946" t="s">
        <v>756</v>
      </c>
      <c r="K28" s="1947">
        <v>127</v>
      </c>
      <c r="L28" s="2133">
        <v>44.449999999999996</v>
      </c>
      <c r="M28" s="2137">
        <v>0.35</v>
      </c>
      <c r="N28" s="2139">
        <v>82.550000000000011</v>
      </c>
      <c r="O28" s="1948"/>
      <c r="P28" s="2142">
        <v>82.550000000000011</v>
      </c>
    </row>
    <row r="29" spans="2:16" x14ac:dyDescent="0.2">
      <c r="B29" s="1918" t="s">
        <v>753</v>
      </c>
      <c r="C29" s="1949">
        <v>56165.728950837532</v>
      </c>
      <c r="D29" s="1951">
        <v>0.27712350351222914</v>
      </c>
      <c r="E29" s="2079">
        <v>82.550000000000011</v>
      </c>
      <c r="F29" s="2079">
        <v>22.87654521493452</v>
      </c>
      <c r="G29" s="2081">
        <v>0.35</v>
      </c>
      <c r="H29" s="1952">
        <v>127</v>
      </c>
      <c r="J29" s="1953" t="s">
        <v>758</v>
      </c>
      <c r="K29" s="1954">
        <v>127</v>
      </c>
      <c r="L29" s="2134">
        <v>44.449999999999996</v>
      </c>
      <c r="M29" s="2138">
        <v>0.35</v>
      </c>
      <c r="N29" s="2140">
        <v>82.550000000000011</v>
      </c>
      <c r="O29" s="1955"/>
      <c r="P29" s="2143">
        <v>82.550000000000011</v>
      </c>
    </row>
    <row r="30" spans="2:16" x14ac:dyDescent="0.2">
      <c r="B30" s="1918" t="s">
        <v>763</v>
      </c>
      <c r="C30" s="1949">
        <v>7113.4878563141201</v>
      </c>
      <c r="D30" s="1956">
        <v>3.509817665963133E-2</v>
      </c>
      <c r="E30" s="2063">
        <v>52.2</v>
      </c>
      <c r="F30" s="2063">
        <v>1.8321248216327555</v>
      </c>
      <c r="G30" s="2065">
        <v>0.5</v>
      </c>
      <c r="H30" s="1919">
        <v>116</v>
      </c>
      <c r="J30" s="2151" t="s">
        <v>768</v>
      </c>
      <c r="K30" s="791"/>
      <c r="L30" s="1943"/>
      <c r="M30" s="1944"/>
      <c r="N30" s="1943"/>
      <c r="O30" s="1944"/>
      <c r="P30" s="1945"/>
    </row>
    <row r="31" spans="2:16" x14ac:dyDescent="0.2">
      <c r="B31" s="1924" t="s">
        <v>765</v>
      </c>
      <c r="C31" s="1949">
        <v>2176.0356949349798</v>
      </c>
      <c r="D31" s="1957">
        <v>1.0736629735116392E-2</v>
      </c>
      <c r="E31" s="2080">
        <v>52.2</v>
      </c>
      <c r="F31" s="2080">
        <v>0.56045207217307569</v>
      </c>
      <c r="G31" s="2082">
        <v>0.5</v>
      </c>
      <c r="H31" s="1958">
        <v>116</v>
      </c>
      <c r="J31" s="1946" t="s">
        <v>750</v>
      </c>
      <c r="K31" s="1947">
        <v>127</v>
      </c>
      <c r="L31" s="2133">
        <v>40</v>
      </c>
      <c r="M31" s="2135">
        <v>0.31496062992125984</v>
      </c>
      <c r="N31" s="2139">
        <v>40</v>
      </c>
      <c r="O31" s="1948"/>
      <c r="P31" s="2142">
        <v>87</v>
      </c>
    </row>
    <row r="32" spans="2:16" x14ac:dyDescent="0.2">
      <c r="B32" s="1924" t="s">
        <v>766</v>
      </c>
      <c r="C32" s="1949">
        <v>28337.863255379136</v>
      </c>
      <c r="D32" s="1957">
        <v>0.13981992389442718</v>
      </c>
      <c r="E32" s="2080">
        <v>54.734999999999999</v>
      </c>
      <c r="F32" s="2080">
        <v>7.6530435343614718</v>
      </c>
      <c r="G32" s="2082">
        <v>0.35</v>
      </c>
      <c r="H32" s="1958">
        <v>89</v>
      </c>
      <c r="J32" s="1946" t="s">
        <v>752</v>
      </c>
      <c r="K32" s="1947">
        <v>127</v>
      </c>
      <c r="L32" s="2133">
        <v>40</v>
      </c>
      <c r="M32" s="2135">
        <v>0.31496062992125984</v>
      </c>
      <c r="N32" s="2139">
        <v>40</v>
      </c>
      <c r="O32" s="1948"/>
      <c r="P32" s="2142">
        <v>87</v>
      </c>
    </row>
    <row r="33" spans="2:16" x14ac:dyDescent="0.2">
      <c r="B33" s="1924" t="s">
        <v>757</v>
      </c>
      <c r="C33" s="1959">
        <v>35872.726468737419</v>
      </c>
      <c r="D33" s="1957">
        <v>0.17699718004646586</v>
      </c>
      <c r="E33" s="2080">
        <v>64.959999999999994</v>
      </c>
      <c r="F33" s="2080">
        <v>11.497736815818421</v>
      </c>
      <c r="G33" s="2083">
        <v>0.4</v>
      </c>
      <c r="H33" s="1960">
        <v>116</v>
      </c>
      <c r="J33" s="1946" t="s">
        <v>754</v>
      </c>
      <c r="K33" s="1947">
        <v>127</v>
      </c>
      <c r="L33" s="2133">
        <v>40</v>
      </c>
      <c r="M33" s="2135">
        <v>0.31496062992125984</v>
      </c>
      <c r="N33" s="2139">
        <v>40</v>
      </c>
      <c r="O33" s="1948"/>
      <c r="P33" s="2142">
        <v>87</v>
      </c>
    </row>
    <row r="34" spans="2:16" ht="32" x14ac:dyDescent="0.2">
      <c r="B34" s="2130" t="s">
        <v>759</v>
      </c>
      <c r="C34" s="2107">
        <v>202674</v>
      </c>
      <c r="D34" s="1961">
        <v>1</v>
      </c>
      <c r="E34" s="1962"/>
      <c r="F34" s="2106">
        <v>73.278874137354507</v>
      </c>
      <c r="G34" s="1963"/>
      <c r="H34" s="2105">
        <v>116.85714285714286</v>
      </c>
      <c r="J34" s="1946" t="s">
        <v>756</v>
      </c>
      <c r="K34" s="1947">
        <v>127</v>
      </c>
      <c r="L34" s="2133">
        <v>40</v>
      </c>
      <c r="M34" s="2135">
        <v>0.31496062992125984</v>
      </c>
      <c r="N34" s="2139">
        <v>40</v>
      </c>
      <c r="O34" s="1948"/>
      <c r="P34" s="2142">
        <v>87</v>
      </c>
    </row>
    <row r="35" spans="2:16" x14ac:dyDescent="0.2">
      <c r="B35" s="2129" t="s">
        <v>353</v>
      </c>
      <c r="C35" s="2123"/>
      <c r="D35" s="2124"/>
      <c r="E35" s="2124"/>
      <c r="F35" s="2124"/>
      <c r="G35" s="2124"/>
      <c r="H35" s="2125"/>
      <c r="J35" s="1953" t="s">
        <v>758</v>
      </c>
      <c r="K35" s="1954">
        <v>127</v>
      </c>
      <c r="L35" s="2134">
        <v>40</v>
      </c>
      <c r="M35" s="2136">
        <v>0.31496062992125984</v>
      </c>
      <c r="N35" s="2140">
        <v>40</v>
      </c>
      <c r="O35" s="1955"/>
      <c r="P35" s="2143">
        <v>87</v>
      </c>
    </row>
    <row r="36" spans="2:16" x14ac:dyDescent="0.2">
      <c r="B36" s="1908" t="s">
        <v>749</v>
      </c>
      <c r="C36" s="1935">
        <v>22563.716580282897</v>
      </c>
      <c r="D36" s="1936">
        <v>0.10590012756743403</v>
      </c>
      <c r="E36" s="2071">
        <v>57.15</v>
      </c>
      <c r="F36" s="2071">
        <v>6.0521922904788541</v>
      </c>
      <c r="G36" s="2073">
        <v>0.5</v>
      </c>
      <c r="H36" s="1937">
        <v>127</v>
      </c>
    </row>
    <row r="37" spans="2:16" x14ac:dyDescent="0.2">
      <c r="B37" s="1908" t="s">
        <v>751</v>
      </c>
      <c r="C37" s="1935">
        <v>57577.404890334357</v>
      </c>
      <c r="D37" s="1936">
        <v>0.27023272080169691</v>
      </c>
      <c r="E37" s="2071">
        <v>87</v>
      </c>
      <c r="F37" s="2071">
        <v>23.51024670974763</v>
      </c>
      <c r="G37" s="2073">
        <v>0.31496062992125984</v>
      </c>
      <c r="H37" s="1937">
        <v>127</v>
      </c>
      <c r="J37" s="2162" t="s">
        <v>769</v>
      </c>
      <c r="K37" s="2155" t="s">
        <v>71</v>
      </c>
      <c r="L37" s="2155" t="s">
        <v>72</v>
      </c>
      <c r="M37" s="2155" t="s">
        <v>73</v>
      </c>
      <c r="N37" s="2155" t="s">
        <v>74</v>
      </c>
      <c r="O37" s="2156" t="s">
        <v>75</v>
      </c>
    </row>
    <row r="38" spans="2:16" x14ac:dyDescent="0.2">
      <c r="B38" s="1918" t="s">
        <v>753</v>
      </c>
      <c r="C38" s="1935">
        <v>57577.404890334357</v>
      </c>
      <c r="D38" s="1936">
        <v>0.27023272080169691</v>
      </c>
      <c r="E38" s="2071">
        <v>82.550000000000011</v>
      </c>
      <c r="F38" s="2071">
        <v>22.307711102180082</v>
      </c>
      <c r="G38" s="2073">
        <v>0.35</v>
      </c>
      <c r="H38" s="1937">
        <v>127</v>
      </c>
      <c r="J38" s="2157" t="s">
        <v>770</v>
      </c>
      <c r="K38" s="90">
        <v>0</v>
      </c>
      <c r="L38" s="91">
        <v>0</v>
      </c>
      <c r="M38" s="91">
        <v>0.2</v>
      </c>
      <c r="N38" s="91">
        <v>0.2</v>
      </c>
      <c r="O38" s="1264">
        <v>0.2</v>
      </c>
    </row>
    <row r="39" spans="2:16" x14ac:dyDescent="0.2">
      <c r="B39" s="1918" t="s">
        <v>763</v>
      </c>
      <c r="C39" s="1935">
        <v>7292.2790843501934</v>
      </c>
      <c r="D39" s="1940">
        <v>3.4225446971127227E-2</v>
      </c>
      <c r="E39" s="2078">
        <v>52.2</v>
      </c>
      <c r="F39" s="2071">
        <v>1.7865683318928414</v>
      </c>
      <c r="G39" s="2074">
        <v>0.5</v>
      </c>
      <c r="H39" s="1941">
        <v>116</v>
      </c>
      <c r="J39" s="1265"/>
      <c r="K39" s="92"/>
      <c r="L39" s="93"/>
      <c r="M39" s="94"/>
      <c r="N39" s="94"/>
      <c r="O39" s="1266"/>
    </row>
    <row r="40" spans="2:16" x14ac:dyDescent="0.2">
      <c r="B40" s="1924" t="s">
        <v>765</v>
      </c>
      <c r="C40" s="1935">
        <v>2230.7284282335149</v>
      </c>
      <c r="D40" s="1940">
        <v>1.0469659299153854E-2</v>
      </c>
      <c r="E40" s="2078">
        <v>52.2</v>
      </c>
      <c r="F40" s="2071">
        <v>0.54651621541583117</v>
      </c>
      <c r="G40" s="2074">
        <v>0.5</v>
      </c>
      <c r="H40" s="1941">
        <v>116</v>
      </c>
      <c r="J40" s="715" t="s">
        <v>771</v>
      </c>
      <c r="K40" s="95">
        <v>0</v>
      </c>
      <c r="L40" s="96">
        <v>0</v>
      </c>
      <c r="M40" s="96">
        <v>7639.8464099131861</v>
      </c>
      <c r="N40" s="96">
        <v>11887.102044427886</v>
      </c>
      <c r="O40" s="1267">
        <v>12608.982213630401</v>
      </c>
    </row>
    <row r="41" spans="2:16" x14ac:dyDescent="0.2">
      <c r="B41" s="1924" t="s">
        <v>766</v>
      </c>
      <c r="C41" s="1935">
        <v>29050.110394010338</v>
      </c>
      <c r="D41" s="1940">
        <v>0.13634324760407732</v>
      </c>
      <c r="E41" s="2078">
        <v>54.734999999999999</v>
      </c>
      <c r="F41" s="2071">
        <v>7.4627476576091718</v>
      </c>
      <c r="G41" s="2074">
        <v>0.35</v>
      </c>
      <c r="H41" s="1941">
        <v>89</v>
      </c>
      <c r="J41" s="1268" t="s">
        <v>772</v>
      </c>
      <c r="K41" s="97">
        <v>0</v>
      </c>
      <c r="L41" s="98">
        <v>0</v>
      </c>
      <c r="M41" s="98">
        <v>-7639.8464099131861</v>
      </c>
      <c r="N41" s="98">
        <v>-11887.102044427886</v>
      </c>
      <c r="O41" s="1269">
        <v>-12608.982213630401</v>
      </c>
    </row>
    <row r="42" spans="2:16" x14ac:dyDescent="0.2">
      <c r="B42" s="1964" t="s">
        <v>757</v>
      </c>
      <c r="C42" s="1959">
        <v>36774.355732454336</v>
      </c>
      <c r="D42" s="1965">
        <v>0.17259607695481372</v>
      </c>
      <c r="E42" s="2087">
        <v>64.959999999999994</v>
      </c>
      <c r="F42" s="2088">
        <v>11.211841158984697</v>
      </c>
      <c r="G42" s="2089">
        <v>0.4</v>
      </c>
      <c r="H42" s="1966">
        <v>116</v>
      </c>
      <c r="J42" s="716" t="s">
        <v>773</v>
      </c>
      <c r="K42" s="95">
        <v>0</v>
      </c>
      <c r="L42" s="96">
        <v>0</v>
      </c>
      <c r="M42" s="96">
        <v>25899.565117924023</v>
      </c>
      <c r="N42" s="96">
        <v>38781.287546490894</v>
      </c>
      <c r="O42" s="1267">
        <v>40657.443311877054</v>
      </c>
    </row>
    <row r="43" spans="2:16" ht="32" x14ac:dyDescent="0.2">
      <c r="B43" s="2126" t="s">
        <v>759</v>
      </c>
      <c r="C43" s="2102">
        <v>213066</v>
      </c>
      <c r="D43" s="1967">
        <v>1</v>
      </c>
      <c r="E43" s="1968"/>
      <c r="F43" s="2103">
        <v>72.87782346630911</v>
      </c>
      <c r="G43" s="1969"/>
      <c r="H43" s="2104">
        <v>116.85714285714286</v>
      </c>
      <c r="J43" s="1270" t="s">
        <v>774</v>
      </c>
      <c r="K43" s="95">
        <v>0</v>
      </c>
      <c r="L43" s="96">
        <v>0</v>
      </c>
      <c r="M43" s="96">
        <v>-25899.565117924023</v>
      </c>
      <c r="N43" s="96">
        <v>-38781.287546490894</v>
      </c>
      <c r="O43" s="1267">
        <v>-40657.443311877054</v>
      </c>
    </row>
    <row r="44" spans="2:16" x14ac:dyDescent="0.2">
      <c r="J44" s="717" t="s">
        <v>775</v>
      </c>
      <c r="K44" s="99">
        <v>0</v>
      </c>
      <c r="L44" s="100">
        <v>0</v>
      </c>
      <c r="M44" s="100">
        <v>33539.411527837212</v>
      </c>
      <c r="N44" s="100">
        <v>50668.389590918778</v>
      </c>
      <c r="O44" s="1271">
        <v>53266.42552550746</v>
      </c>
    </row>
    <row r="45" spans="2:16" x14ac:dyDescent="0.2">
      <c r="J45" s="2161" t="s">
        <v>776</v>
      </c>
      <c r="K45" s="2158">
        <v>0</v>
      </c>
      <c r="L45" s="2159">
        <v>0</v>
      </c>
      <c r="M45" s="2159">
        <v>-33539.411527837212</v>
      </c>
      <c r="N45" s="2159">
        <v>-50668.389590918778</v>
      </c>
      <c r="O45" s="2160">
        <v>-53266.42552550746</v>
      </c>
    </row>
  </sheetData>
  <phoneticPr fontId="59" type="noConversion"/>
  <hyperlinks>
    <hyperlink ref="A1"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V13"/>
  <sheetViews>
    <sheetView workbookViewId="0"/>
  </sheetViews>
  <sheetFormatPr baseColWidth="10" defaultColWidth="8.83203125" defaultRowHeight="16" x14ac:dyDescent="0.2"/>
  <sheetData>
    <row r="1" spans="1:48" x14ac:dyDescent="0.2">
      <c r="A1">
        <v>3</v>
      </c>
      <c r="B1">
        <v>0</v>
      </c>
    </row>
    <row r="2" spans="1:48" x14ac:dyDescent="0.2">
      <c r="A2">
        <v>0</v>
      </c>
    </row>
    <row r="3" spans="1:48" x14ac:dyDescent="0.2">
      <c r="A3">
        <f>[1]Valuation!$C$13</f>
        <v>-1686412.570457154</v>
      </c>
      <c r="B3" t="b">
        <v>1</v>
      </c>
      <c r="C3">
        <v>0</v>
      </c>
      <c r="D3">
        <v>1</v>
      </c>
      <c r="E3" t="s">
        <v>1445</v>
      </c>
      <c r="F3">
        <v>1</v>
      </c>
      <c r="G3">
        <v>0</v>
      </c>
      <c r="H3">
        <v>0</v>
      </c>
      <c r="J3" t="s">
        <v>1437</v>
      </c>
      <c r="K3" t="s">
        <v>1438</v>
      </c>
      <c r="L3" t="s">
        <v>1439</v>
      </c>
      <c r="AG3">
        <f>[1]Valuation!$C$13</f>
        <v>-1686412.570457154</v>
      </c>
      <c r="AH3">
        <v>1</v>
      </c>
      <c r="AI3">
        <v>1</v>
      </c>
      <c r="AJ3" t="b">
        <v>0</v>
      </c>
      <c r="AK3" t="b">
        <v>1</v>
      </c>
      <c r="AL3">
        <v>0</v>
      </c>
      <c r="AM3" t="b">
        <v>0</v>
      </c>
      <c r="AN3" t="e">
        <f>_</f>
        <v>#NAME?</v>
      </c>
    </row>
    <row r="4" spans="1:48" x14ac:dyDescent="0.2">
      <c r="A4" t="e">
        <f ca="1">Valuation!$C$13</f>
        <v>#NAME?</v>
      </c>
      <c r="B4" t="b">
        <v>1</v>
      </c>
      <c r="C4">
        <v>0</v>
      </c>
      <c r="D4">
        <v>1</v>
      </c>
      <c r="E4" t="s">
        <v>1446</v>
      </c>
      <c r="F4">
        <v>1</v>
      </c>
      <c r="G4">
        <v>0</v>
      </c>
      <c r="H4">
        <v>0</v>
      </c>
      <c r="J4" t="s">
        <v>1437</v>
      </c>
      <c r="K4" t="s">
        <v>1438</v>
      </c>
      <c r="L4" t="s">
        <v>1439</v>
      </c>
      <c r="AG4" t="e">
        <f ca="1">Valuation!$C$13</f>
        <v>#NAME?</v>
      </c>
      <c r="AH4">
        <v>2</v>
      </c>
      <c r="AI4">
        <v>1</v>
      </c>
      <c r="AJ4" t="b">
        <v>0</v>
      </c>
      <c r="AK4" t="b">
        <v>1</v>
      </c>
      <c r="AL4">
        <v>0</v>
      </c>
      <c r="AM4" t="b">
        <v>0</v>
      </c>
      <c r="AN4" t="e">
        <f>_</f>
        <v>#NAME?</v>
      </c>
    </row>
    <row r="5" spans="1:48" x14ac:dyDescent="0.2">
      <c r="A5" t="e">
        <f ca="1">'Income Statement'!$D$21</f>
        <v>#NAME?</v>
      </c>
      <c r="B5" t="b">
        <v>0</v>
      </c>
      <c r="C5">
        <v>1</v>
      </c>
      <c r="D5">
        <v>1</v>
      </c>
      <c r="E5" t="s">
        <v>1447</v>
      </c>
      <c r="F5">
        <v>2</v>
      </c>
      <c r="G5">
        <v>0</v>
      </c>
      <c r="H5">
        <v>0</v>
      </c>
      <c r="AG5" t="e">
        <f ca="1">'Income Statement'!$D$21</f>
        <v>#NAME?</v>
      </c>
      <c r="AH5">
        <v>12</v>
      </c>
      <c r="AI5">
        <v>1</v>
      </c>
      <c r="AJ5" t="b">
        <v>0</v>
      </c>
      <c r="AK5" t="b">
        <v>0</v>
      </c>
      <c r="AL5">
        <v>1</v>
      </c>
      <c r="AM5" t="b">
        <v>0</v>
      </c>
      <c r="AN5" t="e">
        <f>_</f>
        <v>#NAME?</v>
      </c>
      <c r="AO5" t="e">
        <f ca="1">'Income Statement'!$D$21</f>
        <v>#NAME?</v>
      </c>
      <c r="AP5">
        <v>0</v>
      </c>
      <c r="AQ5">
        <v>1</v>
      </c>
      <c r="AR5" t="b">
        <v>1</v>
      </c>
      <c r="AS5" t="b">
        <v>0</v>
      </c>
      <c r="AT5">
        <v>1</v>
      </c>
      <c r="AU5" t="b">
        <v>1</v>
      </c>
      <c r="AV5" t="e">
        <f ca="1">_RiskNormal(-2175231.5,261027.792)</f>
        <v>#NAME?</v>
      </c>
    </row>
    <row r="6" spans="1:48" x14ac:dyDescent="0.2">
      <c r="A6">
        <v>0</v>
      </c>
    </row>
    <row r="7" spans="1:48" x14ac:dyDescent="0.2">
      <c r="A7" t="b">
        <v>0</v>
      </c>
      <c r="B7">
        <v>14560</v>
      </c>
      <c r="C7">
        <v>6215</v>
      </c>
      <c r="D7">
        <v>5960</v>
      </c>
      <c r="E7">
        <v>0</v>
      </c>
    </row>
    <row r="8" spans="1:48" x14ac:dyDescent="0.2">
      <c r="A8" t="b">
        <v>0</v>
      </c>
      <c r="B8">
        <v>14560</v>
      </c>
      <c r="C8">
        <v>6215</v>
      </c>
      <c r="D8">
        <v>5960</v>
      </c>
      <c r="E8">
        <v>0</v>
      </c>
    </row>
    <row r="9" spans="1:48" x14ac:dyDescent="0.2">
      <c r="A9" t="b">
        <v>0</v>
      </c>
      <c r="B9">
        <v>14560</v>
      </c>
      <c r="C9">
        <v>6215</v>
      </c>
      <c r="D9">
        <v>5960</v>
      </c>
      <c r="E9">
        <v>0</v>
      </c>
    </row>
    <row r="10" spans="1:48" x14ac:dyDescent="0.2">
      <c r="A10" t="b">
        <v>0</v>
      </c>
      <c r="B10">
        <v>14560</v>
      </c>
      <c r="C10">
        <v>6215</v>
      </c>
      <c r="D10">
        <v>5960</v>
      </c>
      <c r="E10">
        <v>0</v>
      </c>
    </row>
    <row r="11" spans="1:48" x14ac:dyDescent="0.2">
      <c r="A11" t="b">
        <v>0</v>
      </c>
      <c r="B11">
        <v>14560</v>
      </c>
      <c r="C11">
        <v>6215</v>
      </c>
      <c r="D11">
        <v>5960</v>
      </c>
      <c r="E11">
        <v>0</v>
      </c>
    </row>
    <row r="12" spans="1:48" x14ac:dyDescent="0.2">
      <c r="A12">
        <v>0</v>
      </c>
    </row>
    <row r="13" spans="1:48" x14ac:dyDescent="0.2">
      <c r="A13">
        <v>0</v>
      </c>
      <c r="B13" t="b">
        <v>0</v>
      </c>
      <c r="C13" t="b">
        <v>0</v>
      </c>
      <c r="D13">
        <v>10</v>
      </c>
      <c r="E13">
        <v>0.95</v>
      </c>
      <c r="F13">
        <v>1</v>
      </c>
    </row>
  </sheetData>
  <phoneticPr fontId="5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DN1032"/>
  <sheetViews>
    <sheetView showGridLines="0" topLeftCell="A103" zoomScale="60" zoomScaleNormal="60" zoomScalePageLayoutView="60" workbookViewId="0">
      <selection activeCell="H111" sqref="H111"/>
    </sheetView>
  </sheetViews>
  <sheetFormatPr baseColWidth="10" defaultColWidth="14.5" defaultRowHeight="15.75" customHeight="1" x14ac:dyDescent="0.2"/>
  <cols>
    <col min="1" max="1" width="8.5" style="217" customWidth="1"/>
    <col min="2" max="2" width="32.1640625" style="217" customWidth="1"/>
    <col min="3" max="3" width="8.33203125" style="217" customWidth="1"/>
    <col min="4" max="4" width="10.1640625" style="217" customWidth="1"/>
    <col min="5" max="5" width="7.6640625" style="217" customWidth="1"/>
    <col min="6" max="6" width="6.5" style="217" customWidth="1"/>
    <col min="7" max="7" width="10" style="217" customWidth="1"/>
    <col min="8" max="8" width="10.1640625" style="217" customWidth="1"/>
    <col min="9" max="9" width="9.5" style="217" customWidth="1"/>
    <col min="10" max="10" width="9.83203125" style="217" customWidth="1"/>
    <col min="11" max="11" width="11.5" style="217" customWidth="1"/>
    <col min="12" max="12" width="9.1640625" style="217" customWidth="1"/>
    <col min="13" max="13" width="10.83203125" style="217" customWidth="1"/>
    <col min="14" max="14" width="10.5" style="217" customWidth="1"/>
    <col min="15" max="15" width="13.6640625" style="217" customWidth="1"/>
    <col min="16" max="16" width="9.6640625" style="217" customWidth="1"/>
    <col min="17" max="17" width="11.5" style="217" customWidth="1"/>
    <col min="18" max="18" width="11.1640625" style="217" customWidth="1"/>
    <col min="19" max="19" width="6.1640625" style="217" customWidth="1"/>
    <col min="20" max="20" width="1.6640625" style="471" customWidth="1"/>
    <col min="21" max="21" width="4.1640625" style="217" customWidth="1"/>
    <col min="22" max="22" width="31.1640625" style="217" customWidth="1"/>
    <col min="23" max="23" width="8.5" style="217" customWidth="1"/>
    <col min="24" max="24" width="8.83203125" style="217" customWidth="1"/>
    <col min="25" max="25" width="8" style="217" customWidth="1"/>
    <col min="26" max="26" width="7.5" style="217" customWidth="1"/>
    <col min="27" max="27" width="8" style="217" customWidth="1"/>
    <col min="28" max="28" width="8.6640625" style="217" customWidth="1"/>
    <col min="29" max="29" width="8.1640625" style="217" customWidth="1"/>
    <col min="30" max="30" width="9.5" style="217" customWidth="1"/>
    <col min="31" max="31" width="11" style="217" customWidth="1"/>
    <col min="32" max="32" width="10.33203125" style="217" customWidth="1"/>
    <col min="33" max="33" width="11.1640625" style="217" customWidth="1"/>
    <col min="34" max="34" width="10" style="217" customWidth="1"/>
    <col min="35" max="35" width="11.33203125" style="217" customWidth="1"/>
    <col min="36" max="36" width="10.33203125" style="217" customWidth="1"/>
    <col min="37" max="37" width="12.1640625" style="217" customWidth="1"/>
    <col min="38" max="38" width="11.1640625" style="217" customWidth="1"/>
    <col min="39" max="16384" width="14.5" style="217"/>
  </cols>
  <sheetData>
    <row r="1" spans="1:38" ht="16" x14ac:dyDescent="0.2">
      <c r="A1" s="1771" t="s">
        <v>38</v>
      </c>
      <c r="B1" s="302"/>
      <c r="C1" s="302"/>
      <c r="D1" s="302"/>
      <c r="E1" s="302"/>
      <c r="F1" s="302"/>
      <c r="G1" s="302"/>
      <c r="H1" s="302"/>
      <c r="I1" s="302"/>
      <c r="J1" s="302"/>
      <c r="K1" s="302"/>
      <c r="L1" s="302"/>
      <c r="M1" s="302"/>
      <c r="N1" s="302"/>
      <c r="O1" s="302"/>
      <c r="P1" s="302"/>
      <c r="Q1" s="302"/>
      <c r="R1" s="302"/>
      <c r="S1" s="302"/>
      <c r="T1" s="413"/>
      <c r="U1" s="302"/>
      <c r="V1" s="302"/>
      <c r="W1" s="302"/>
      <c r="X1" s="302"/>
      <c r="Y1" s="302"/>
      <c r="Z1" s="302"/>
      <c r="AA1" s="302"/>
    </row>
    <row r="2" spans="1:38" ht="16" x14ac:dyDescent="0.2">
      <c r="A2" s="302"/>
      <c r="B2" s="303" t="s">
        <v>911</v>
      </c>
      <c r="C2" s="304"/>
      <c r="D2" s="302"/>
      <c r="E2" s="302"/>
      <c r="F2" s="302"/>
      <c r="G2" s="302"/>
      <c r="H2" s="302"/>
      <c r="I2" s="302"/>
      <c r="J2" s="302"/>
      <c r="K2" s="302"/>
      <c r="L2" s="302"/>
      <c r="M2" s="302"/>
      <c r="N2" s="302"/>
      <c r="O2" s="302"/>
      <c r="P2" s="302"/>
      <c r="Q2" s="302"/>
      <c r="R2" s="302"/>
      <c r="S2" s="302"/>
      <c r="T2" s="413"/>
      <c r="U2" s="302"/>
      <c r="V2" s="303" t="s">
        <v>912</v>
      </c>
      <c r="W2" s="304"/>
      <c r="X2" s="302"/>
      <c r="Y2" s="302"/>
      <c r="Z2" s="302"/>
      <c r="AA2" s="302"/>
      <c r="AB2" s="302"/>
      <c r="AC2" s="302"/>
      <c r="AD2" s="302"/>
      <c r="AE2" s="302"/>
      <c r="AF2" s="302"/>
      <c r="AG2" s="302"/>
      <c r="AH2" s="302"/>
      <c r="AI2" s="302"/>
      <c r="AJ2" s="302"/>
      <c r="AK2" s="302"/>
      <c r="AL2" s="302"/>
    </row>
    <row r="3" spans="1:38" ht="16" x14ac:dyDescent="0.2">
      <c r="A3" s="302"/>
      <c r="B3" s="305" t="s">
        <v>913</v>
      </c>
      <c r="C3" s="302"/>
      <c r="D3" s="302"/>
      <c r="E3" s="302"/>
      <c r="F3" s="302"/>
      <c r="G3" s="302"/>
      <c r="H3" s="302"/>
      <c r="I3" s="302"/>
      <c r="J3" s="302"/>
      <c r="K3" s="302"/>
      <c r="L3" s="302"/>
      <c r="M3" s="302"/>
      <c r="N3" s="302"/>
      <c r="O3" s="302"/>
      <c r="P3" s="302"/>
      <c r="Q3" s="302"/>
      <c r="R3" s="302"/>
      <c r="S3" s="302"/>
      <c r="T3" s="413"/>
      <c r="U3" s="302"/>
      <c r="V3" s="305" t="s">
        <v>914</v>
      </c>
      <c r="W3" s="302"/>
      <c r="X3" s="302"/>
      <c r="Y3" s="302"/>
      <c r="Z3" s="302"/>
      <c r="AA3" s="302"/>
      <c r="AB3" s="302"/>
      <c r="AC3" s="302"/>
      <c r="AD3" s="302"/>
      <c r="AE3" s="302"/>
      <c r="AF3" s="302"/>
      <c r="AG3" s="302"/>
      <c r="AH3" s="302"/>
      <c r="AI3" s="302"/>
      <c r="AJ3" s="302"/>
      <c r="AK3" s="302"/>
      <c r="AL3" s="302"/>
    </row>
    <row r="4" spans="1:38" ht="16" x14ac:dyDescent="0.2">
      <c r="A4" s="302"/>
      <c r="B4" s="302"/>
      <c r="C4" s="302"/>
      <c r="D4" s="302"/>
      <c r="E4" s="302"/>
      <c r="F4" s="302"/>
      <c r="G4" s="302"/>
      <c r="H4" s="302"/>
      <c r="I4" s="302"/>
      <c r="J4" s="302"/>
      <c r="K4" s="302"/>
      <c r="L4" s="302"/>
      <c r="M4" s="302"/>
      <c r="N4" s="302"/>
      <c r="O4" s="302"/>
      <c r="P4" s="302"/>
      <c r="Q4" s="302"/>
      <c r="R4" s="302"/>
      <c r="S4" s="302"/>
      <c r="T4" s="413"/>
      <c r="U4" s="302"/>
      <c r="V4" s="302"/>
      <c r="W4" s="302"/>
      <c r="X4" s="302"/>
      <c r="Y4" s="302"/>
      <c r="Z4" s="302"/>
      <c r="AA4" s="302"/>
      <c r="AB4" s="302"/>
      <c r="AC4" s="302"/>
      <c r="AD4" s="302"/>
      <c r="AE4" s="302"/>
      <c r="AF4" s="302"/>
      <c r="AG4" s="302"/>
      <c r="AH4" s="302"/>
      <c r="AI4" s="302"/>
      <c r="AJ4" s="302"/>
      <c r="AK4" s="302"/>
      <c r="AL4" s="302"/>
    </row>
    <row r="5" spans="1:38" ht="32" x14ac:dyDescent="0.2">
      <c r="A5" s="302"/>
      <c r="B5" s="306" t="s">
        <v>915</v>
      </c>
      <c r="C5" s="307" t="s">
        <v>176</v>
      </c>
      <c r="D5" s="308" t="s">
        <v>916</v>
      </c>
      <c r="E5" s="308" t="s">
        <v>178</v>
      </c>
      <c r="F5" s="308" t="s">
        <v>179</v>
      </c>
      <c r="G5" s="308" t="s">
        <v>180</v>
      </c>
      <c r="H5" s="308" t="s">
        <v>181</v>
      </c>
      <c r="I5" s="308" t="s">
        <v>182</v>
      </c>
      <c r="J5" s="308" t="s">
        <v>183</v>
      </c>
      <c r="K5" s="308" t="s">
        <v>184</v>
      </c>
      <c r="L5" s="308" t="s">
        <v>185</v>
      </c>
      <c r="M5" s="308" t="s">
        <v>186</v>
      </c>
      <c r="N5" s="309" t="s">
        <v>187</v>
      </c>
      <c r="O5" s="310" t="s">
        <v>579</v>
      </c>
      <c r="P5" s="310" t="s">
        <v>917</v>
      </c>
      <c r="Q5" s="310" t="s">
        <v>918</v>
      </c>
      <c r="R5" s="311" t="s">
        <v>919</v>
      </c>
      <c r="S5" s="312"/>
      <c r="T5" s="519"/>
      <c r="U5" s="312"/>
      <c r="V5" s="306" t="s">
        <v>920</v>
      </c>
      <c r="W5" s="307" t="s">
        <v>176</v>
      </c>
      <c r="X5" s="308" t="s">
        <v>916</v>
      </c>
      <c r="Y5" s="308" t="s">
        <v>178</v>
      </c>
      <c r="Z5" s="308" t="s">
        <v>179</v>
      </c>
      <c r="AA5" s="308" t="s">
        <v>180</v>
      </c>
      <c r="AB5" s="308" t="s">
        <v>181</v>
      </c>
      <c r="AC5" s="308" t="s">
        <v>182</v>
      </c>
      <c r="AD5" s="308" t="s">
        <v>183</v>
      </c>
      <c r="AE5" s="308" t="s">
        <v>184</v>
      </c>
      <c r="AF5" s="308" t="s">
        <v>185</v>
      </c>
      <c r="AG5" s="308" t="s">
        <v>186</v>
      </c>
      <c r="AH5" s="309" t="s">
        <v>187</v>
      </c>
      <c r="AI5" s="310" t="s">
        <v>579</v>
      </c>
      <c r="AJ5" s="310" t="s">
        <v>917</v>
      </c>
      <c r="AK5" s="310" t="s">
        <v>918</v>
      </c>
      <c r="AL5" s="311" t="s">
        <v>919</v>
      </c>
    </row>
    <row r="6" spans="1:38" ht="16" x14ac:dyDescent="0.2">
      <c r="A6" s="302"/>
      <c r="B6" s="160" t="s">
        <v>921</v>
      </c>
      <c r="C6" s="313"/>
      <c r="D6" s="314"/>
      <c r="E6" s="314"/>
      <c r="F6" s="314"/>
      <c r="G6" s="314"/>
      <c r="H6" s="314"/>
      <c r="I6" s="314"/>
      <c r="J6" s="314"/>
      <c r="K6" s="314"/>
      <c r="L6" s="314"/>
      <c r="M6" s="314"/>
      <c r="N6" s="315"/>
      <c r="O6" s="316"/>
      <c r="P6" s="314"/>
      <c r="Q6" s="314"/>
      <c r="R6" s="317"/>
      <c r="S6" s="302"/>
      <c r="T6" s="413"/>
      <c r="U6" s="302"/>
      <c r="V6" s="160" t="s">
        <v>921</v>
      </c>
      <c r="W6" s="313"/>
      <c r="X6" s="314"/>
      <c r="Y6" s="314"/>
      <c r="Z6" s="314"/>
      <c r="AA6" s="314"/>
      <c r="AB6" s="314"/>
      <c r="AC6" s="314"/>
      <c r="AD6" s="314"/>
      <c r="AE6" s="314"/>
      <c r="AF6" s="314"/>
      <c r="AG6" s="314"/>
      <c r="AH6" s="315"/>
      <c r="AI6" s="316"/>
      <c r="AJ6" s="314"/>
      <c r="AK6" s="314"/>
      <c r="AL6" s="317"/>
    </row>
    <row r="7" spans="1:38" ht="30" customHeight="1" x14ac:dyDescent="0.2">
      <c r="A7" s="302"/>
      <c r="B7" s="473" t="s">
        <v>922</v>
      </c>
      <c r="C7" s="318"/>
      <c r="D7" s="319"/>
      <c r="E7" s="319"/>
      <c r="F7" s="319"/>
      <c r="G7" s="319"/>
      <c r="H7" s="319"/>
      <c r="I7" s="319"/>
      <c r="J7" s="319"/>
      <c r="K7" s="319"/>
      <c r="L7" s="319"/>
      <c r="M7" s="319"/>
      <c r="N7" s="320"/>
      <c r="O7" s="157">
        <f>SUM(O8:O14)</f>
        <v>33554.959999999999</v>
      </c>
      <c r="P7" s="319"/>
      <c r="Q7" s="321">
        <f>'IMC References'!C37</f>
        <v>2.6843967999999999E-2</v>
      </c>
      <c r="R7" s="322">
        <f>'IMC References'!D37</f>
        <v>2.0132975999999997E-2</v>
      </c>
      <c r="S7" s="302"/>
      <c r="T7" s="413"/>
      <c r="U7" s="302"/>
      <c r="V7" s="473" t="s">
        <v>922</v>
      </c>
      <c r="W7" s="318"/>
      <c r="X7" s="319"/>
      <c r="Y7" s="319"/>
      <c r="Z7" s="319"/>
      <c r="AA7" s="319"/>
      <c r="AB7" s="319"/>
      <c r="AC7" s="319"/>
      <c r="AD7" s="319"/>
      <c r="AE7" s="319"/>
      <c r="AF7" s="319"/>
      <c r="AG7" s="319"/>
      <c r="AH7" s="320"/>
      <c r="AI7" s="157">
        <f>SUM(AI8:AI14)</f>
        <v>33554.959999999999</v>
      </c>
      <c r="AJ7" s="319"/>
      <c r="AK7" s="321">
        <f>'IMC References'!E37</f>
        <v>2.6843967999999999E-2</v>
      </c>
      <c r="AL7" s="322">
        <f>'IMC References'!F37</f>
        <v>2.0132975999999997E-2</v>
      </c>
    </row>
    <row r="8" spans="1:38" ht="35" customHeight="1" x14ac:dyDescent="0.2">
      <c r="A8" s="302"/>
      <c r="B8" s="323" t="s">
        <v>923</v>
      </c>
      <c r="C8" s="318"/>
      <c r="D8" s="319"/>
      <c r="E8" s="319"/>
      <c r="F8" s="319"/>
      <c r="G8" s="319"/>
      <c r="H8" s="319"/>
      <c r="I8" s="319"/>
      <c r="J8" s="319"/>
      <c r="K8" s="319"/>
      <c r="L8" s="324"/>
      <c r="M8" s="319"/>
      <c r="N8" s="320"/>
      <c r="O8" s="351">
        <f>'IMC References'!$I$17</f>
        <v>3244</v>
      </c>
      <c r="P8" s="356"/>
      <c r="Q8" s="478">
        <f>'IMC References'!$C$30</f>
        <v>2.5952000000000002E-3</v>
      </c>
      <c r="R8" s="479">
        <f>'IMC References'!$D$30</f>
        <v>1.9463999999999998E-3</v>
      </c>
      <c r="S8" s="302"/>
      <c r="T8" s="413"/>
      <c r="U8" s="302"/>
      <c r="V8" s="323" t="s">
        <v>923</v>
      </c>
      <c r="W8" s="318"/>
      <c r="X8" s="319"/>
      <c r="Y8" s="319"/>
      <c r="Z8" s="319"/>
      <c r="AA8" s="319"/>
      <c r="AB8" s="319"/>
      <c r="AC8" s="319"/>
      <c r="AD8" s="319"/>
      <c r="AE8" s="319"/>
      <c r="AF8" s="324"/>
      <c r="AG8" s="319"/>
      <c r="AH8" s="320"/>
      <c r="AI8" s="351">
        <f>'IMC References'!$I$17</f>
        <v>3244</v>
      </c>
      <c r="AJ8" s="356"/>
      <c r="AK8" s="478">
        <f>'IMC References'!$E$30</f>
        <v>2.5952000000000002E-3</v>
      </c>
      <c r="AL8" s="479">
        <f>'IMC References'!$F$30</f>
        <v>1.9463999999999998E-3</v>
      </c>
    </row>
    <row r="9" spans="1:38" ht="18" customHeight="1" x14ac:dyDescent="0.2">
      <c r="A9" s="302"/>
      <c r="B9" s="323" t="s">
        <v>924</v>
      </c>
      <c r="C9" s="318"/>
      <c r="D9" s="319"/>
      <c r="E9" s="319"/>
      <c r="F9" s="319"/>
      <c r="G9" s="319"/>
      <c r="H9" s="319"/>
      <c r="I9" s="319"/>
      <c r="J9" s="319"/>
      <c r="K9" s="319"/>
      <c r="L9" s="324"/>
      <c r="M9" s="319"/>
      <c r="N9" s="320"/>
      <c r="O9" s="351">
        <f>'IMC References'!$I$18</f>
        <v>6644</v>
      </c>
      <c r="P9" s="356"/>
      <c r="Q9" s="478">
        <f>'IMC References'!$C$31</f>
        <v>5.3152E-3</v>
      </c>
      <c r="R9" s="479">
        <f>'IMC References'!$D$31</f>
        <v>3.9863999999999993E-3</v>
      </c>
      <c r="S9" s="302"/>
      <c r="T9" s="413"/>
      <c r="U9" s="302"/>
      <c r="V9" s="323" t="s">
        <v>924</v>
      </c>
      <c r="W9" s="318"/>
      <c r="X9" s="319"/>
      <c r="Y9" s="319"/>
      <c r="Z9" s="319"/>
      <c r="AA9" s="319"/>
      <c r="AB9" s="319"/>
      <c r="AC9" s="319"/>
      <c r="AD9" s="319"/>
      <c r="AE9" s="319"/>
      <c r="AF9" s="324"/>
      <c r="AG9" s="319"/>
      <c r="AH9" s="320"/>
      <c r="AI9" s="351">
        <f>'IMC References'!$I$18</f>
        <v>6644</v>
      </c>
      <c r="AJ9" s="356"/>
      <c r="AK9" s="478">
        <f>'IMC References'!$E$31</f>
        <v>5.3152E-3</v>
      </c>
      <c r="AL9" s="479">
        <f>'IMC References'!$F$31</f>
        <v>3.9863999999999993E-3</v>
      </c>
    </row>
    <row r="10" spans="1:38" ht="31.5" customHeight="1" x14ac:dyDescent="0.2">
      <c r="A10" s="302"/>
      <c r="B10" s="323" t="s">
        <v>925</v>
      </c>
      <c r="C10" s="318"/>
      <c r="D10" s="319"/>
      <c r="E10" s="319"/>
      <c r="F10" s="319"/>
      <c r="G10" s="319"/>
      <c r="H10" s="319"/>
      <c r="I10" s="319"/>
      <c r="J10" s="319"/>
      <c r="K10" s="319"/>
      <c r="L10" s="169"/>
      <c r="M10" s="324"/>
      <c r="N10" s="320"/>
      <c r="O10" s="351">
        <f>'IMC References'!$I$19</f>
        <v>4242.96</v>
      </c>
      <c r="P10" s="356"/>
      <c r="Q10" s="478">
        <f>'IMC References'!$C$32</f>
        <v>3.394368E-3</v>
      </c>
      <c r="R10" s="479">
        <f>'IMC References'!$D$32</f>
        <v>2.5457759999999996E-3</v>
      </c>
      <c r="S10" s="302"/>
      <c r="T10" s="413"/>
      <c r="U10" s="302"/>
      <c r="V10" s="323" t="s">
        <v>925</v>
      </c>
      <c r="W10" s="318"/>
      <c r="X10" s="319"/>
      <c r="Y10" s="319"/>
      <c r="Z10" s="319"/>
      <c r="AA10" s="319"/>
      <c r="AB10" s="319"/>
      <c r="AC10" s="319"/>
      <c r="AD10" s="319"/>
      <c r="AE10" s="319"/>
      <c r="AF10" s="169"/>
      <c r="AG10" s="324"/>
      <c r="AH10" s="320"/>
      <c r="AI10" s="351">
        <f>'IMC References'!$I$19</f>
        <v>4242.96</v>
      </c>
      <c r="AJ10" s="356"/>
      <c r="AK10" s="478">
        <f>'IMC References'!$E$32</f>
        <v>3.394368E-3</v>
      </c>
      <c r="AL10" s="479">
        <f>'IMC References'!$F$32</f>
        <v>2.5457759999999996E-3</v>
      </c>
    </row>
    <row r="11" spans="1:38" ht="19.5" customHeight="1" x14ac:dyDescent="0.2">
      <c r="A11" s="302"/>
      <c r="B11" s="323" t="s">
        <v>926</v>
      </c>
      <c r="C11" s="318"/>
      <c r="D11" s="319"/>
      <c r="E11" s="319"/>
      <c r="F11" s="319"/>
      <c r="G11" s="319"/>
      <c r="H11" s="319"/>
      <c r="I11" s="319"/>
      <c r="J11" s="319"/>
      <c r="K11" s="319"/>
      <c r="L11" s="169"/>
      <c r="M11" s="324"/>
      <c r="N11" s="320"/>
      <c r="O11" s="351">
        <f>'IMC References'!$I$20</f>
        <v>3694</v>
      </c>
      <c r="P11" s="356"/>
      <c r="Q11" s="478">
        <f>'IMC References'!$C$33</f>
        <v>2.9551999999999998E-3</v>
      </c>
      <c r="R11" s="479">
        <f>'IMC References'!$D$33</f>
        <v>2.2163999999999999E-3</v>
      </c>
      <c r="S11" s="302"/>
      <c r="T11" s="413"/>
      <c r="U11" s="302"/>
      <c r="V11" s="323" t="s">
        <v>926</v>
      </c>
      <c r="W11" s="318"/>
      <c r="X11" s="319"/>
      <c r="Y11" s="319"/>
      <c r="Z11" s="319"/>
      <c r="AA11" s="319"/>
      <c r="AB11" s="319"/>
      <c r="AC11" s="319"/>
      <c r="AD11" s="319"/>
      <c r="AE11" s="319"/>
      <c r="AF11" s="169"/>
      <c r="AG11" s="324"/>
      <c r="AH11" s="320"/>
      <c r="AI11" s="351">
        <f>'IMC References'!$I$20</f>
        <v>3694</v>
      </c>
      <c r="AJ11" s="356"/>
      <c r="AK11" s="478">
        <f>'IMC References'!$E$33</f>
        <v>2.9551999999999998E-3</v>
      </c>
      <c r="AL11" s="479">
        <f>'IMC References'!$F$33</f>
        <v>2.2163999999999999E-3</v>
      </c>
    </row>
    <row r="12" spans="1:38" ht="35.25" customHeight="1" x14ac:dyDescent="0.2">
      <c r="A12" s="302"/>
      <c r="B12" s="323" t="s">
        <v>927</v>
      </c>
      <c r="C12" s="318"/>
      <c r="D12" s="319"/>
      <c r="E12" s="319"/>
      <c r="F12" s="319"/>
      <c r="G12" s="319"/>
      <c r="H12" s="319"/>
      <c r="I12" s="319"/>
      <c r="J12" s="319"/>
      <c r="K12" s="319"/>
      <c r="L12" s="319"/>
      <c r="M12" s="324"/>
      <c r="N12" s="320"/>
      <c r="O12" s="351">
        <f>'IMC References'!$I$21</f>
        <v>5643</v>
      </c>
      <c r="P12" s="356"/>
      <c r="Q12" s="478">
        <f>'IMC References'!$C$34</f>
        <v>4.5144E-3</v>
      </c>
      <c r="R12" s="479">
        <f>'IMC References'!$D$34</f>
        <v>3.3857999999999996E-3</v>
      </c>
      <c r="S12" s="302"/>
      <c r="T12" s="413"/>
      <c r="U12" s="302"/>
      <c r="V12" s="323" t="s">
        <v>927</v>
      </c>
      <c r="W12" s="318"/>
      <c r="X12" s="319"/>
      <c r="Y12" s="319"/>
      <c r="Z12" s="319"/>
      <c r="AA12" s="319"/>
      <c r="AB12" s="319"/>
      <c r="AC12" s="319"/>
      <c r="AD12" s="319"/>
      <c r="AE12" s="319"/>
      <c r="AF12" s="319"/>
      <c r="AG12" s="324"/>
      <c r="AH12" s="320"/>
      <c r="AI12" s="351">
        <f>'IMC References'!$I$21</f>
        <v>5643</v>
      </c>
      <c r="AJ12" s="356"/>
      <c r="AK12" s="478">
        <f>'IMC References'!$F$35</f>
        <v>2.1257999999999997E-3</v>
      </c>
      <c r="AL12" s="479">
        <f>'IMC References'!$F$34</f>
        <v>3.3857999999999996E-3</v>
      </c>
    </row>
    <row r="13" spans="1:38" ht="31.5" customHeight="1" x14ac:dyDescent="0.2">
      <c r="A13" s="302"/>
      <c r="B13" s="323" t="s">
        <v>928</v>
      </c>
      <c r="C13" s="326"/>
      <c r="D13" s="319"/>
      <c r="E13" s="319"/>
      <c r="F13" s="319"/>
      <c r="G13" s="319"/>
      <c r="H13" s="319"/>
      <c r="I13" s="319"/>
      <c r="J13" s="319"/>
      <c r="K13" s="319"/>
      <c r="L13" s="319"/>
      <c r="M13" s="319"/>
      <c r="N13" s="320"/>
      <c r="O13" s="351">
        <f>'IMC References'!$I$22</f>
        <v>3543</v>
      </c>
      <c r="P13" s="356"/>
      <c r="Q13" s="478">
        <f>'IMC References'!$C$35</f>
        <v>2.8343999999999999E-3</v>
      </c>
      <c r="R13" s="479">
        <f>'IMC References'!$D$35</f>
        <v>2.1257999999999997E-3</v>
      </c>
      <c r="S13" s="302"/>
      <c r="T13" s="413"/>
      <c r="U13" s="302"/>
      <c r="V13" s="323" t="s">
        <v>928</v>
      </c>
      <c r="W13" s="326"/>
      <c r="X13" s="319"/>
      <c r="Y13" s="319"/>
      <c r="Z13" s="319"/>
      <c r="AA13" s="319"/>
      <c r="AB13" s="319"/>
      <c r="AC13" s="319"/>
      <c r="AD13" s="319"/>
      <c r="AE13" s="319"/>
      <c r="AF13" s="319"/>
      <c r="AG13" s="319"/>
      <c r="AH13" s="320"/>
      <c r="AI13" s="351">
        <f>'IMC References'!$I$22</f>
        <v>3543</v>
      </c>
      <c r="AJ13" s="356"/>
      <c r="AK13" s="478">
        <f>'IMC References'!$F$35</f>
        <v>2.1257999999999997E-3</v>
      </c>
      <c r="AL13" s="479">
        <f>'IMC References'!$F$35</f>
        <v>2.1257999999999997E-3</v>
      </c>
    </row>
    <row r="14" spans="1:38" ht="18" customHeight="1" x14ac:dyDescent="0.2">
      <c r="A14" s="302"/>
      <c r="B14" s="323" t="s">
        <v>929</v>
      </c>
      <c r="C14" s="318"/>
      <c r="D14" s="319"/>
      <c r="E14" s="324"/>
      <c r="F14" s="319"/>
      <c r="G14" s="319"/>
      <c r="H14" s="319"/>
      <c r="I14" s="319"/>
      <c r="J14" s="319"/>
      <c r="K14" s="319"/>
      <c r="L14" s="319"/>
      <c r="M14" s="319"/>
      <c r="N14" s="320"/>
      <c r="O14" s="351">
        <f>'IMC References'!$I$23</f>
        <v>6544</v>
      </c>
      <c r="P14" s="356"/>
      <c r="Q14" s="478">
        <f>'IMC References'!$C$36</f>
        <v>5.2351999999999997E-3</v>
      </c>
      <c r="R14" s="479">
        <f>'IMC References'!$D$36</f>
        <v>3.9264E-3</v>
      </c>
      <c r="S14" s="302"/>
      <c r="T14" s="413"/>
      <c r="U14" s="302"/>
      <c r="V14" s="323" t="s">
        <v>929</v>
      </c>
      <c r="W14" s="318"/>
      <c r="X14" s="319"/>
      <c r="Y14" s="324"/>
      <c r="Z14" s="319"/>
      <c r="AA14" s="319"/>
      <c r="AB14" s="319"/>
      <c r="AC14" s="319"/>
      <c r="AD14" s="319"/>
      <c r="AE14" s="319"/>
      <c r="AF14" s="319"/>
      <c r="AG14" s="319"/>
      <c r="AH14" s="320"/>
      <c r="AI14" s="351">
        <f>'IMC References'!$I$23</f>
        <v>6544</v>
      </c>
      <c r="AJ14" s="356"/>
      <c r="AK14" s="478">
        <f>'IMC References'!$F$36</f>
        <v>3.9264E-3</v>
      </c>
      <c r="AL14" s="479">
        <f>'IMC References'!$F$36</f>
        <v>3.9264E-3</v>
      </c>
    </row>
    <row r="15" spans="1:38" ht="16" x14ac:dyDescent="0.2">
      <c r="A15" s="302"/>
      <c r="B15" s="327" t="s">
        <v>76</v>
      </c>
      <c r="C15" s="328"/>
      <c r="D15" s="329"/>
      <c r="E15" s="329"/>
      <c r="F15" s="329"/>
      <c r="G15" s="329"/>
      <c r="H15" s="329"/>
      <c r="I15" s="329"/>
      <c r="J15" s="329"/>
      <c r="K15" s="329"/>
      <c r="L15" s="329"/>
      <c r="M15" s="329"/>
      <c r="N15" s="330"/>
      <c r="O15" s="625">
        <f>'IMC References'!F113</f>
        <v>29438.739999999998</v>
      </c>
      <c r="P15" s="159"/>
      <c r="Q15" s="331">
        <v>0.02</v>
      </c>
      <c r="R15" s="332">
        <v>0.02</v>
      </c>
      <c r="T15" s="413"/>
      <c r="U15" s="302"/>
      <c r="V15" s="327" t="s">
        <v>76</v>
      </c>
      <c r="W15" s="328"/>
      <c r="X15" s="329"/>
      <c r="Y15" s="329"/>
      <c r="Z15" s="329"/>
      <c r="AA15" s="329"/>
      <c r="AB15" s="329"/>
      <c r="AC15" s="329"/>
      <c r="AD15" s="329"/>
      <c r="AE15" s="329"/>
      <c r="AF15" s="329"/>
      <c r="AG15" s="329"/>
      <c r="AH15" s="330"/>
      <c r="AI15" s="156">
        <f>'IMC References'!G113</f>
        <v>29438.739999999998</v>
      </c>
      <c r="AJ15" s="159"/>
      <c r="AK15" s="331">
        <v>0.02</v>
      </c>
      <c r="AL15" s="332">
        <v>0.02</v>
      </c>
    </row>
    <row r="16" spans="1:38" ht="16" x14ac:dyDescent="0.2">
      <c r="A16" s="302"/>
      <c r="B16" s="333" t="s">
        <v>930</v>
      </c>
      <c r="C16" s="628"/>
      <c r="D16" s="629"/>
      <c r="E16" s="629"/>
      <c r="F16" s="629"/>
      <c r="G16" s="629"/>
      <c r="H16" s="629"/>
      <c r="I16" s="629"/>
      <c r="J16" s="629"/>
      <c r="K16" s="375"/>
      <c r="L16" s="629"/>
      <c r="M16" s="629"/>
      <c r="N16" s="630"/>
      <c r="O16" s="631">
        <f>'IMC References'!$C$66</f>
        <v>61200</v>
      </c>
      <c r="P16" s="629"/>
      <c r="Q16" s="337">
        <f>'IMC References'!C82</f>
        <v>2.4480000000000002E-2</v>
      </c>
      <c r="R16" s="338">
        <f>'IMC References'!D82</f>
        <v>1.8359999999999998E-2</v>
      </c>
      <c r="S16" s="312"/>
      <c r="T16" s="519"/>
      <c r="U16" s="312"/>
      <c r="V16" s="333" t="s">
        <v>930</v>
      </c>
      <c r="W16" s="334"/>
      <c r="X16" s="335"/>
      <c r="Y16" s="335"/>
      <c r="Z16" s="335"/>
      <c r="AA16" s="335"/>
      <c r="AB16" s="335"/>
      <c r="AC16" s="335"/>
      <c r="AD16" s="335"/>
      <c r="AE16" s="319"/>
      <c r="AF16" s="335"/>
      <c r="AG16" s="335"/>
      <c r="AH16" s="336"/>
      <c r="AI16" s="158">
        <f>'IMC References'!$C$66</f>
        <v>61200</v>
      </c>
      <c r="AJ16" s="335"/>
      <c r="AK16" s="337">
        <f>'IMC References'!E82</f>
        <v>2.4480000000000002E-2</v>
      </c>
      <c r="AL16" s="338">
        <f>'IMC References'!F82</f>
        <v>1.8359999999999998E-2</v>
      </c>
    </row>
    <row r="17" spans="1:38" ht="44.25" customHeight="1" x14ac:dyDescent="0.2">
      <c r="A17" s="339"/>
      <c r="B17" s="340" t="s">
        <v>931</v>
      </c>
      <c r="C17" s="341"/>
      <c r="D17" s="342"/>
      <c r="E17" s="342"/>
      <c r="F17" s="342"/>
      <c r="G17" s="343"/>
      <c r="H17" s="343"/>
      <c r="I17" s="343"/>
      <c r="J17" s="343"/>
      <c r="K17" s="343"/>
      <c r="L17" s="343"/>
      <c r="M17" s="343"/>
      <c r="N17" s="344"/>
      <c r="O17" s="345"/>
      <c r="P17" s="342"/>
      <c r="Q17" s="346"/>
      <c r="R17" s="347"/>
      <c r="S17" s="339"/>
      <c r="T17" s="520"/>
      <c r="U17" s="339"/>
      <c r="V17" s="472" t="s">
        <v>931</v>
      </c>
      <c r="W17" s="341"/>
      <c r="X17" s="342"/>
      <c r="Y17" s="342"/>
      <c r="Z17" s="342"/>
      <c r="AA17" s="343"/>
      <c r="AB17" s="343"/>
      <c r="AC17" s="343"/>
      <c r="AD17" s="343"/>
      <c r="AE17" s="343"/>
      <c r="AF17" s="343"/>
      <c r="AG17" s="343"/>
      <c r="AH17" s="344"/>
      <c r="AI17" s="345"/>
      <c r="AJ17" s="342"/>
      <c r="AK17" s="346"/>
      <c r="AL17" s="347"/>
    </row>
    <row r="18" spans="1:38" ht="16.5" customHeight="1" x14ac:dyDescent="0.2">
      <c r="A18" s="339"/>
      <c r="B18" s="323" t="s">
        <v>932</v>
      </c>
      <c r="C18" s="341"/>
      <c r="D18" s="342"/>
      <c r="E18" s="342"/>
      <c r="F18" s="342"/>
      <c r="G18" s="348" t="s">
        <v>933</v>
      </c>
      <c r="H18" s="348" t="s">
        <v>934</v>
      </c>
      <c r="I18" s="348" t="s">
        <v>935</v>
      </c>
      <c r="J18" s="343"/>
      <c r="K18" s="343"/>
      <c r="L18" s="343"/>
      <c r="M18" s="343"/>
      <c r="N18" s="349" t="s">
        <v>936</v>
      </c>
      <c r="O18" s="345">
        <f>'IMC References'!$C$64</f>
        <v>3000</v>
      </c>
      <c r="P18" s="342"/>
      <c r="Q18" s="632">
        <f>'IMC References'!C72</f>
        <v>2.3999999999999998E-3</v>
      </c>
      <c r="R18" s="347">
        <f>'IMC References'!D72</f>
        <v>1.7999999999999997E-3</v>
      </c>
      <c r="S18" s="339"/>
      <c r="T18" s="520"/>
      <c r="U18" s="339"/>
      <c r="V18" s="323" t="s">
        <v>932</v>
      </c>
      <c r="W18" s="341"/>
      <c r="X18" s="342"/>
      <c r="Y18" s="342"/>
      <c r="Z18" s="342"/>
      <c r="AA18" s="348" t="s">
        <v>933</v>
      </c>
      <c r="AB18" s="348" t="s">
        <v>934</v>
      </c>
      <c r="AC18" s="348" t="s">
        <v>935</v>
      </c>
      <c r="AD18" s="343"/>
      <c r="AE18" s="343"/>
      <c r="AF18" s="343"/>
      <c r="AG18" s="343"/>
      <c r="AH18" s="349" t="s">
        <v>936</v>
      </c>
      <c r="AI18" s="345">
        <f>'IMC References'!$C$64</f>
        <v>3000</v>
      </c>
      <c r="AJ18" s="342"/>
      <c r="AK18" s="346">
        <f>'IMC References'!E72</f>
        <v>2.3999999999999998E-3</v>
      </c>
      <c r="AL18" s="347">
        <f>'IMC References'!F72</f>
        <v>1.7999999999999997E-3</v>
      </c>
    </row>
    <row r="19" spans="1:38" ht="32" x14ac:dyDescent="0.2">
      <c r="A19" s="302"/>
      <c r="B19" s="350" t="s">
        <v>937</v>
      </c>
      <c r="C19" s="341"/>
      <c r="D19" s="342"/>
      <c r="E19" s="342"/>
      <c r="F19" s="342"/>
      <c r="G19" s="348" t="s">
        <v>938</v>
      </c>
      <c r="H19" s="348" t="s">
        <v>939</v>
      </c>
      <c r="I19" s="343"/>
      <c r="J19" s="343"/>
      <c r="K19" s="348" t="s">
        <v>935</v>
      </c>
      <c r="L19" s="343"/>
      <c r="M19" s="343"/>
      <c r="N19" s="349" t="s">
        <v>936</v>
      </c>
      <c r="O19" s="351">
        <f>'IMC References'!$D$64</f>
        <v>2600</v>
      </c>
      <c r="P19" s="319"/>
      <c r="Q19" s="553">
        <f>'IMC References'!C73</f>
        <v>2.0800000000000003E-3</v>
      </c>
      <c r="R19" s="555">
        <f>'IMC References'!D73</f>
        <v>1.5599999999999998E-3</v>
      </c>
      <c r="T19" s="413"/>
      <c r="U19" s="302"/>
      <c r="V19" s="350" t="s">
        <v>937</v>
      </c>
      <c r="W19" s="341"/>
      <c r="X19" s="342"/>
      <c r="Y19" s="342"/>
      <c r="Z19" s="342"/>
      <c r="AA19" s="348" t="s">
        <v>938</v>
      </c>
      <c r="AB19" s="348" t="s">
        <v>939</v>
      </c>
      <c r="AC19" s="343"/>
      <c r="AD19" s="343"/>
      <c r="AE19" s="348" t="s">
        <v>935</v>
      </c>
      <c r="AF19" s="343"/>
      <c r="AG19" s="343"/>
      <c r="AH19" s="349" t="s">
        <v>936</v>
      </c>
      <c r="AI19" s="351">
        <f>'IMC References'!$D$64</f>
        <v>2600</v>
      </c>
      <c r="AJ19" s="319"/>
      <c r="AK19" s="553">
        <f>'IMC References'!E73</f>
        <v>2.0800000000000003E-3</v>
      </c>
      <c r="AL19" s="554">
        <f>'IMC References'!F73</f>
        <v>1.5599999999999998E-3</v>
      </c>
    </row>
    <row r="20" spans="1:38" ht="32" x14ac:dyDescent="0.2">
      <c r="A20" s="302"/>
      <c r="B20" s="350" t="s">
        <v>940</v>
      </c>
      <c r="C20" s="341"/>
      <c r="D20" s="342"/>
      <c r="E20" s="342"/>
      <c r="F20" s="342"/>
      <c r="G20" s="348" t="s">
        <v>938</v>
      </c>
      <c r="H20" s="348" t="s">
        <v>939</v>
      </c>
      <c r="I20" s="343"/>
      <c r="J20" s="343"/>
      <c r="K20" s="348" t="s">
        <v>935</v>
      </c>
      <c r="L20" s="343"/>
      <c r="M20" s="343"/>
      <c r="N20" s="349" t="s">
        <v>936</v>
      </c>
      <c r="O20" s="351">
        <f>'IMC References'!$E$64</f>
        <v>2600</v>
      </c>
      <c r="P20" s="319"/>
      <c r="Q20" s="553">
        <f>'IMC References'!C74</f>
        <v>2.0800000000000003E-3</v>
      </c>
      <c r="R20" s="555">
        <f>'IMC References'!D74</f>
        <v>1.5599999999999998E-3</v>
      </c>
      <c r="S20" s="302"/>
      <c r="T20" s="413"/>
      <c r="U20" s="302"/>
      <c r="V20" s="350" t="s">
        <v>940</v>
      </c>
      <c r="W20" s="341"/>
      <c r="X20" s="342"/>
      <c r="Y20" s="342"/>
      <c r="Z20" s="342"/>
      <c r="AA20" s="348" t="s">
        <v>938</v>
      </c>
      <c r="AB20" s="348" t="s">
        <v>939</v>
      </c>
      <c r="AC20" s="343"/>
      <c r="AD20" s="343"/>
      <c r="AE20" s="348" t="s">
        <v>935</v>
      </c>
      <c r="AF20" s="343"/>
      <c r="AG20" s="343"/>
      <c r="AH20" s="349" t="s">
        <v>936</v>
      </c>
      <c r="AI20" s="351">
        <f>'IMC References'!$E$64</f>
        <v>2600</v>
      </c>
      <c r="AJ20" s="319"/>
      <c r="AK20" s="553">
        <f>'IMC References'!E74</f>
        <v>2.0800000000000003E-3</v>
      </c>
      <c r="AL20" s="554">
        <f>'IMC References'!F74</f>
        <v>1.5599999999999998E-3</v>
      </c>
    </row>
    <row r="21" spans="1:38" ht="32" x14ac:dyDescent="0.2">
      <c r="A21" s="302"/>
      <c r="B21" s="350" t="s">
        <v>941</v>
      </c>
      <c r="C21" s="341"/>
      <c r="D21" s="342"/>
      <c r="E21" s="342"/>
      <c r="F21" s="342"/>
      <c r="G21" s="348" t="s">
        <v>933</v>
      </c>
      <c r="H21" s="348" t="s">
        <v>934</v>
      </c>
      <c r="I21" s="348" t="s">
        <v>942</v>
      </c>
      <c r="J21" s="348" t="s">
        <v>943</v>
      </c>
      <c r="K21" s="343"/>
      <c r="L21" s="343"/>
      <c r="M21" s="343"/>
      <c r="N21" s="349" t="s">
        <v>936</v>
      </c>
      <c r="O21" s="351">
        <f>'IMC References'!$F$64</f>
        <v>2400</v>
      </c>
      <c r="P21" s="319"/>
      <c r="Q21" s="553">
        <f>'IMC References'!C75</f>
        <v>1.92E-3</v>
      </c>
      <c r="R21" s="555">
        <f>'IMC References'!D75</f>
        <v>1.4399999999999999E-3</v>
      </c>
      <c r="T21" s="413"/>
      <c r="U21" s="302"/>
      <c r="V21" s="350" t="s">
        <v>941</v>
      </c>
      <c r="W21" s="341"/>
      <c r="X21" s="342"/>
      <c r="Y21" s="342"/>
      <c r="Z21" s="342"/>
      <c r="AA21" s="348" t="s">
        <v>933</v>
      </c>
      <c r="AB21" s="348" t="s">
        <v>934</v>
      </c>
      <c r="AC21" s="348" t="s">
        <v>942</v>
      </c>
      <c r="AD21" s="348" t="s">
        <v>943</v>
      </c>
      <c r="AE21" s="343"/>
      <c r="AF21" s="343"/>
      <c r="AG21" s="343"/>
      <c r="AH21" s="349" t="s">
        <v>936</v>
      </c>
      <c r="AI21" s="351">
        <f>'IMC References'!$F$64</f>
        <v>2400</v>
      </c>
      <c r="AJ21" s="319"/>
      <c r="AK21" s="553">
        <f>'IMC References'!E75</f>
        <v>1.92E-3</v>
      </c>
      <c r="AL21" s="554">
        <f>'IMC References'!F75</f>
        <v>1.4399999999999999E-3</v>
      </c>
    </row>
    <row r="22" spans="1:38" ht="32" x14ac:dyDescent="0.2">
      <c r="A22" s="302"/>
      <c r="B22" s="350" t="s">
        <v>944</v>
      </c>
      <c r="C22" s="341"/>
      <c r="D22" s="342"/>
      <c r="E22" s="342"/>
      <c r="F22" s="342"/>
      <c r="G22" s="348" t="s">
        <v>938</v>
      </c>
      <c r="H22" s="348" t="s">
        <v>939</v>
      </c>
      <c r="I22" s="343"/>
      <c r="J22" s="343"/>
      <c r="K22" s="348" t="s">
        <v>935</v>
      </c>
      <c r="L22" s="343"/>
      <c r="M22" s="343"/>
      <c r="N22" s="349" t="s">
        <v>936</v>
      </c>
      <c r="O22" s="351">
        <f>'IMC References'!$G$64</f>
        <v>2800</v>
      </c>
      <c r="P22" s="319"/>
      <c r="Q22" s="553">
        <f>'IMC References'!C76</f>
        <v>2.2400000000000002E-3</v>
      </c>
      <c r="R22" s="555">
        <f>'IMC References'!D76</f>
        <v>1.6799999999999999E-3</v>
      </c>
      <c r="T22" s="413"/>
      <c r="U22" s="302"/>
      <c r="V22" s="350" t="s">
        <v>944</v>
      </c>
      <c r="W22" s="341"/>
      <c r="X22" s="342"/>
      <c r="Y22" s="342"/>
      <c r="Z22" s="342"/>
      <c r="AA22" s="348" t="s">
        <v>938</v>
      </c>
      <c r="AB22" s="348" t="s">
        <v>939</v>
      </c>
      <c r="AC22" s="343"/>
      <c r="AD22" s="343"/>
      <c r="AE22" s="348" t="s">
        <v>935</v>
      </c>
      <c r="AF22" s="343"/>
      <c r="AG22" s="343"/>
      <c r="AH22" s="349" t="s">
        <v>936</v>
      </c>
      <c r="AI22" s="351">
        <f>'IMC References'!$G$64</f>
        <v>2800</v>
      </c>
      <c r="AJ22" s="319"/>
      <c r="AK22" s="553">
        <f>'IMC References'!E76</f>
        <v>2.2400000000000002E-3</v>
      </c>
      <c r="AL22" s="554">
        <f>'IMC References'!F76</f>
        <v>1.6799999999999999E-3</v>
      </c>
    </row>
    <row r="23" spans="1:38" ht="32" x14ac:dyDescent="0.2">
      <c r="A23" s="302"/>
      <c r="B23" s="350" t="s">
        <v>945</v>
      </c>
      <c r="C23" s="341"/>
      <c r="D23" s="342"/>
      <c r="E23" s="342"/>
      <c r="F23" s="342"/>
      <c r="G23" s="348" t="s">
        <v>933</v>
      </c>
      <c r="H23" s="348" t="s">
        <v>939</v>
      </c>
      <c r="I23" s="343"/>
      <c r="J23" s="348" t="s">
        <v>942</v>
      </c>
      <c r="K23" s="352" t="s">
        <v>946</v>
      </c>
      <c r="L23" s="343"/>
      <c r="M23" s="343"/>
      <c r="N23" s="349" t="s">
        <v>936</v>
      </c>
      <c r="O23" s="351">
        <f>'IMC References'!$H$64</f>
        <v>4000</v>
      </c>
      <c r="P23" s="319"/>
      <c r="Q23" s="553">
        <f>'IMC References'!C77</f>
        <v>3.2000000000000002E-3</v>
      </c>
      <c r="R23" s="555">
        <f>'IMC References'!D77</f>
        <v>2.3999999999999998E-3</v>
      </c>
      <c r="T23" s="413"/>
      <c r="U23" s="302"/>
      <c r="V23" s="350" t="s">
        <v>945</v>
      </c>
      <c r="W23" s="341"/>
      <c r="X23" s="342"/>
      <c r="Y23" s="342"/>
      <c r="Z23" s="342"/>
      <c r="AA23" s="348" t="s">
        <v>933</v>
      </c>
      <c r="AB23" s="348" t="s">
        <v>939</v>
      </c>
      <c r="AC23" s="343"/>
      <c r="AD23" s="348" t="s">
        <v>942</v>
      </c>
      <c r="AE23" s="352" t="s">
        <v>946</v>
      </c>
      <c r="AF23" s="343"/>
      <c r="AG23" s="343"/>
      <c r="AH23" s="349" t="s">
        <v>936</v>
      </c>
      <c r="AI23" s="351">
        <f>'IMC References'!$H$64</f>
        <v>4000</v>
      </c>
      <c r="AJ23" s="319"/>
      <c r="AK23" s="553">
        <f>'IMC References'!E77</f>
        <v>3.2000000000000002E-3</v>
      </c>
      <c r="AL23" s="554">
        <f>'IMC References'!F77</f>
        <v>2.3999999999999998E-3</v>
      </c>
    </row>
    <row r="24" spans="1:38" ht="32" x14ac:dyDescent="0.2">
      <c r="A24" s="302"/>
      <c r="B24" s="350" t="s">
        <v>947</v>
      </c>
      <c r="C24" s="341"/>
      <c r="D24" s="342"/>
      <c r="E24" s="342"/>
      <c r="F24" s="342"/>
      <c r="G24" s="348" t="s">
        <v>933</v>
      </c>
      <c r="H24" s="348" t="s">
        <v>934</v>
      </c>
      <c r="I24" s="343"/>
      <c r="J24" s="348" t="s">
        <v>942</v>
      </c>
      <c r="K24" s="348" t="s">
        <v>943</v>
      </c>
      <c r="L24" s="343"/>
      <c r="M24" s="343"/>
      <c r="N24" s="349" t="s">
        <v>936</v>
      </c>
      <c r="O24" s="351">
        <f>'IMC References'!$I$64</f>
        <v>4800</v>
      </c>
      <c r="P24" s="319"/>
      <c r="Q24" s="553">
        <f>'IMC References'!C78</f>
        <v>3.8400000000000001E-3</v>
      </c>
      <c r="R24" s="555">
        <f>'IMC References'!D78</f>
        <v>2.8799999999999997E-3</v>
      </c>
      <c r="S24" s="302"/>
      <c r="T24" s="413"/>
      <c r="U24" s="302"/>
      <c r="V24" s="350" t="s">
        <v>947</v>
      </c>
      <c r="W24" s="341"/>
      <c r="X24" s="342"/>
      <c r="Y24" s="342"/>
      <c r="Z24" s="342"/>
      <c r="AA24" s="348" t="s">
        <v>933</v>
      </c>
      <c r="AB24" s="348" t="s">
        <v>934</v>
      </c>
      <c r="AC24" s="343"/>
      <c r="AD24" s="348" t="s">
        <v>942</v>
      </c>
      <c r="AE24" s="348" t="s">
        <v>943</v>
      </c>
      <c r="AF24" s="343"/>
      <c r="AG24" s="343"/>
      <c r="AH24" s="349" t="s">
        <v>936</v>
      </c>
      <c r="AI24" s="351">
        <f>'IMC References'!$I$64</f>
        <v>4800</v>
      </c>
      <c r="AJ24" s="319"/>
      <c r="AK24" s="553">
        <f>'IMC References'!E78</f>
        <v>3.8400000000000001E-3</v>
      </c>
      <c r="AL24" s="554">
        <f>'IMC References'!F78</f>
        <v>2.8799999999999997E-3</v>
      </c>
    </row>
    <row r="25" spans="1:38" ht="32" x14ac:dyDescent="0.2">
      <c r="A25" s="302"/>
      <c r="B25" s="353" t="s">
        <v>948</v>
      </c>
      <c r="C25" s="341"/>
      <c r="D25" s="342"/>
      <c r="E25" s="342"/>
      <c r="F25" s="342"/>
      <c r="G25" s="348" t="s">
        <v>933</v>
      </c>
      <c r="H25" s="348" t="s">
        <v>934</v>
      </c>
      <c r="I25" s="343"/>
      <c r="J25" s="348" t="s">
        <v>935</v>
      </c>
      <c r="K25" s="343"/>
      <c r="L25" s="169"/>
      <c r="M25" s="343"/>
      <c r="N25" s="349" t="s">
        <v>936</v>
      </c>
      <c r="O25" s="351">
        <f>'IMC References'!$J$64</f>
        <v>3000</v>
      </c>
      <c r="P25" s="319"/>
      <c r="Q25" s="553">
        <f>'IMC References'!C79</f>
        <v>2.3999999999999998E-3</v>
      </c>
      <c r="R25" s="555">
        <f>'IMC References'!D79</f>
        <v>1.7999999999999997E-3</v>
      </c>
      <c r="S25" s="302"/>
      <c r="T25" s="413"/>
      <c r="U25" s="302"/>
      <c r="V25" s="353" t="s">
        <v>948</v>
      </c>
      <c r="W25" s="341"/>
      <c r="X25" s="342"/>
      <c r="Y25" s="342"/>
      <c r="Z25" s="342"/>
      <c r="AA25" s="348" t="s">
        <v>933</v>
      </c>
      <c r="AB25" s="348" t="s">
        <v>934</v>
      </c>
      <c r="AC25" s="343"/>
      <c r="AD25" s="348" t="s">
        <v>935</v>
      </c>
      <c r="AE25" s="343"/>
      <c r="AF25" s="169"/>
      <c r="AG25" s="343"/>
      <c r="AH25" s="349" t="s">
        <v>936</v>
      </c>
      <c r="AI25" s="351">
        <f>'IMC References'!$J$64</f>
        <v>3000</v>
      </c>
      <c r="AJ25" s="319"/>
      <c r="AK25" s="553">
        <f>'IMC References'!F79</f>
        <v>1.7999999999999997E-3</v>
      </c>
      <c r="AL25" s="554">
        <f>'IMC References'!F79</f>
        <v>1.7999999999999997E-3</v>
      </c>
    </row>
    <row r="26" spans="1:38" ht="32" x14ac:dyDescent="0.2">
      <c r="A26" s="302"/>
      <c r="B26" s="350" t="s">
        <v>949</v>
      </c>
      <c r="C26" s="341"/>
      <c r="D26" s="342"/>
      <c r="E26" s="342"/>
      <c r="F26" s="342"/>
      <c r="G26" s="348" t="s">
        <v>933</v>
      </c>
      <c r="H26" s="348" t="s">
        <v>934</v>
      </c>
      <c r="I26" s="343"/>
      <c r="J26" s="348" t="s">
        <v>935</v>
      </c>
      <c r="K26" s="343"/>
      <c r="L26" s="169"/>
      <c r="M26" s="343"/>
      <c r="N26" s="349" t="s">
        <v>936</v>
      </c>
      <c r="O26" s="351">
        <f>'IMC References'!$L$64</f>
        <v>2600</v>
      </c>
      <c r="P26" s="319"/>
      <c r="Q26" s="553">
        <f>'IMC References'!C80</f>
        <v>2.0800000000000003E-3</v>
      </c>
      <c r="R26" s="555">
        <f>'IMC References'!D80</f>
        <v>1.5599999999999998E-3</v>
      </c>
      <c r="S26" s="302"/>
      <c r="T26" s="413"/>
      <c r="U26" s="302"/>
      <c r="V26" s="350" t="s">
        <v>949</v>
      </c>
      <c r="W26" s="341"/>
      <c r="X26" s="342"/>
      <c r="Y26" s="342"/>
      <c r="Z26" s="342"/>
      <c r="AA26" s="348" t="s">
        <v>933</v>
      </c>
      <c r="AB26" s="348" t="s">
        <v>934</v>
      </c>
      <c r="AC26" s="343"/>
      <c r="AD26" s="348" t="s">
        <v>935</v>
      </c>
      <c r="AE26" s="343"/>
      <c r="AF26" s="169"/>
      <c r="AG26" s="343"/>
      <c r="AH26" s="349" t="s">
        <v>936</v>
      </c>
      <c r="AI26" s="351">
        <f>'IMC References'!$L$64</f>
        <v>2600</v>
      </c>
      <c r="AJ26" s="319"/>
      <c r="AK26" s="553">
        <f>'IMC References'!E80</f>
        <v>2.0800000000000003E-3</v>
      </c>
      <c r="AL26" s="554">
        <f>'IMC References'!F80</f>
        <v>1.5599999999999998E-3</v>
      </c>
    </row>
    <row r="27" spans="1:38" ht="32" x14ac:dyDescent="0.2">
      <c r="A27" s="354"/>
      <c r="B27" s="350" t="s">
        <v>950</v>
      </c>
      <c r="C27" s="341"/>
      <c r="D27" s="342"/>
      <c r="E27" s="342"/>
      <c r="F27" s="342"/>
      <c r="G27" s="348" t="s">
        <v>933</v>
      </c>
      <c r="H27" s="348" t="s">
        <v>934</v>
      </c>
      <c r="I27" s="343"/>
      <c r="J27" s="348" t="s">
        <v>935</v>
      </c>
      <c r="K27" s="343"/>
      <c r="L27" s="169"/>
      <c r="M27" s="343"/>
      <c r="N27" s="349" t="s">
        <v>936</v>
      </c>
      <c r="O27" s="351">
        <f>'IMC References'!$N$64</f>
        <v>2800</v>
      </c>
      <c r="P27" s="319"/>
      <c r="Q27" s="553">
        <f>'IMC References'!C81</f>
        <v>2.2400000000000002E-3</v>
      </c>
      <c r="R27" s="555">
        <f>'IMC References'!D81</f>
        <v>1.6799999999999999E-3</v>
      </c>
      <c r="S27" s="302"/>
      <c r="T27" s="413"/>
      <c r="U27" s="302"/>
      <c r="V27" s="350" t="s">
        <v>950</v>
      </c>
      <c r="W27" s="341"/>
      <c r="X27" s="342"/>
      <c r="Y27" s="342"/>
      <c r="Z27" s="342"/>
      <c r="AA27" s="348" t="s">
        <v>933</v>
      </c>
      <c r="AB27" s="348" t="s">
        <v>934</v>
      </c>
      <c r="AC27" s="343"/>
      <c r="AD27" s="348" t="s">
        <v>935</v>
      </c>
      <c r="AE27" s="343"/>
      <c r="AF27" s="169"/>
      <c r="AG27" s="343"/>
      <c r="AH27" s="349" t="s">
        <v>936</v>
      </c>
      <c r="AI27" s="351">
        <f>'IMC References'!$N$64</f>
        <v>2800</v>
      </c>
      <c r="AJ27" s="319"/>
      <c r="AK27" s="553">
        <f>'IMC References'!E81</f>
        <v>2.2400000000000002E-3</v>
      </c>
      <c r="AL27" s="554">
        <f>'IMC References'!F81</f>
        <v>1.6799999999999999E-3</v>
      </c>
    </row>
    <row r="28" spans="1:38" ht="16" x14ac:dyDescent="0.2">
      <c r="A28" s="302"/>
      <c r="B28" s="327" t="s">
        <v>951</v>
      </c>
      <c r="C28" s="355"/>
      <c r="D28" s="356"/>
      <c r="E28" s="356"/>
      <c r="F28" s="356"/>
      <c r="G28" s="356"/>
      <c r="H28" s="356"/>
      <c r="I28" s="356"/>
      <c r="J28" s="356"/>
      <c r="K28" s="356"/>
      <c r="L28" s="356"/>
      <c r="M28" s="356"/>
      <c r="N28" s="357"/>
      <c r="O28" s="157">
        <f>10000</f>
        <v>10000</v>
      </c>
      <c r="P28" s="358"/>
      <c r="Q28" s="359">
        <v>0.01</v>
      </c>
      <c r="R28" s="360">
        <v>0.01</v>
      </c>
      <c r="S28" s="302"/>
      <c r="T28" s="413"/>
      <c r="U28" s="302"/>
      <c r="V28" s="327" t="s">
        <v>951</v>
      </c>
      <c r="W28" s="355"/>
      <c r="X28" s="356"/>
      <c r="Y28" s="356"/>
      <c r="Z28" s="356"/>
      <c r="AA28" s="356"/>
      <c r="AB28" s="356"/>
      <c r="AC28" s="356"/>
      <c r="AD28" s="356"/>
      <c r="AE28" s="356"/>
      <c r="AF28" s="356"/>
      <c r="AG28" s="356"/>
      <c r="AH28" s="357"/>
      <c r="AI28" s="157">
        <f>10000</f>
        <v>10000</v>
      </c>
      <c r="AJ28" s="358"/>
      <c r="AK28" s="359">
        <v>0.01</v>
      </c>
      <c r="AL28" s="360">
        <v>0.01</v>
      </c>
    </row>
    <row r="29" spans="1:38" ht="57.75" customHeight="1" x14ac:dyDescent="0.2">
      <c r="A29" s="302"/>
      <c r="B29" s="323" t="s">
        <v>952</v>
      </c>
      <c r="C29" s="361"/>
      <c r="D29" s="362"/>
      <c r="E29" s="319"/>
      <c r="F29" s="319"/>
      <c r="G29" s="363"/>
      <c r="H29" s="319"/>
      <c r="I29" s="319"/>
      <c r="J29" s="319"/>
      <c r="K29" s="319"/>
      <c r="L29" s="319"/>
      <c r="M29" s="319"/>
      <c r="N29" s="364"/>
      <c r="O29" s="365"/>
      <c r="P29" s="319"/>
      <c r="Q29" s="319"/>
      <c r="R29" s="366"/>
      <c r="S29" s="302"/>
      <c r="T29" s="413"/>
      <c r="U29" s="302"/>
      <c r="V29" s="323" t="s">
        <v>952</v>
      </c>
      <c r="W29" s="361"/>
      <c r="X29" s="362"/>
      <c r="Y29" s="319"/>
      <c r="Z29" s="319"/>
      <c r="AA29" s="363"/>
      <c r="AB29" s="319"/>
      <c r="AC29" s="319"/>
      <c r="AD29" s="319"/>
      <c r="AE29" s="319"/>
      <c r="AF29" s="319"/>
      <c r="AG29" s="319"/>
      <c r="AH29" s="364"/>
      <c r="AI29" s="365"/>
      <c r="AJ29" s="319"/>
      <c r="AK29" s="319"/>
      <c r="AL29" s="366"/>
    </row>
    <row r="30" spans="1:38" ht="57.75" customHeight="1" x14ac:dyDescent="0.2">
      <c r="A30" s="302"/>
      <c r="B30" s="323" t="s">
        <v>953</v>
      </c>
      <c r="C30" s="361"/>
      <c r="D30" s="319"/>
      <c r="E30" s="319"/>
      <c r="F30" s="319"/>
      <c r="G30" s="367"/>
      <c r="H30" s="319"/>
      <c r="I30" s="319"/>
      <c r="J30" s="319"/>
      <c r="K30" s="319"/>
      <c r="L30" s="319"/>
      <c r="M30" s="319"/>
      <c r="N30" s="364"/>
      <c r="O30" s="325"/>
      <c r="P30" s="319"/>
      <c r="Q30" s="319"/>
      <c r="R30" s="366"/>
      <c r="T30" s="413"/>
      <c r="U30" s="302"/>
      <c r="V30" s="323" t="s">
        <v>953</v>
      </c>
      <c r="W30" s="361"/>
      <c r="X30" s="319"/>
      <c r="Y30" s="319"/>
      <c r="Z30" s="319"/>
      <c r="AA30" s="367"/>
      <c r="AB30" s="319"/>
      <c r="AC30" s="319"/>
      <c r="AD30" s="319"/>
      <c r="AE30" s="319"/>
      <c r="AF30" s="319"/>
      <c r="AG30" s="319"/>
      <c r="AH30" s="364"/>
      <c r="AI30" s="325"/>
      <c r="AJ30" s="319"/>
      <c r="AK30" s="319"/>
      <c r="AL30" s="366"/>
    </row>
    <row r="31" spans="1:38" ht="16" x14ac:dyDescent="0.2">
      <c r="A31" s="302"/>
      <c r="B31" s="473" t="s">
        <v>954</v>
      </c>
      <c r="C31" s="361"/>
      <c r="D31" s="319"/>
      <c r="E31" s="319"/>
      <c r="F31" s="319"/>
      <c r="G31" s="674"/>
      <c r="H31" s="319"/>
      <c r="I31" s="319"/>
      <c r="J31" s="319"/>
      <c r="K31" s="319"/>
      <c r="L31" s="319"/>
      <c r="M31" s="319"/>
      <c r="N31" s="675"/>
      <c r="O31" s="325">
        <f>'IMC References'!F92</f>
        <v>13000</v>
      </c>
      <c r="P31" s="319"/>
      <c r="Q31" s="321">
        <f>'IMC References'!C105</f>
        <v>3.9795488087708197E-3</v>
      </c>
      <c r="R31" s="322">
        <f>'IMC References'!D105</f>
        <v>2.6684828118712815E-2</v>
      </c>
      <c r="T31" s="413"/>
      <c r="U31" s="302"/>
      <c r="V31" s="327" t="s">
        <v>954</v>
      </c>
      <c r="W31" s="361"/>
      <c r="X31" s="319"/>
      <c r="Y31" s="319"/>
      <c r="Z31" s="319"/>
      <c r="AA31" s="368"/>
      <c r="AB31" s="319"/>
      <c r="AC31" s="319"/>
      <c r="AD31" s="319"/>
      <c r="AE31" s="319"/>
      <c r="AF31" s="319"/>
      <c r="AG31" s="319"/>
      <c r="AH31" s="369"/>
      <c r="AI31" s="156">
        <f>'IMC References'!F92</f>
        <v>13000</v>
      </c>
      <c r="AJ31" s="319"/>
      <c r="AK31" s="371">
        <f>'IMC References'!E105</f>
        <v>3.8699392911978113E-3</v>
      </c>
      <c r="AL31" s="372">
        <f>'IMC References'!F105</f>
        <v>2.5999162152320083E-2</v>
      </c>
    </row>
    <row r="32" spans="1:38" ht="1.5" customHeight="1" x14ac:dyDescent="0.2">
      <c r="A32" s="302"/>
      <c r="B32" s="327" t="s">
        <v>954</v>
      </c>
      <c r="C32" s="361"/>
      <c r="D32" s="319"/>
      <c r="E32" s="319"/>
      <c r="F32" s="319"/>
      <c r="G32" s="368"/>
      <c r="H32" s="319"/>
      <c r="I32" s="319"/>
      <c r="J32" s="319"/>
      <c r="K32" s="319"/>
      <c r="L32" s="319"/>
      <c r="M32" s="319"/>
      <c r="N32" s="369"/>
      <c r="O32" s="156">
        <f>'IMC References'!F92</f>
        <v>13000</v>
      </c>
      <c r="P32" s="370"/>
      <c r="Q32" s="371">
        <f>'IMC References'!C105</f>
        <v>3.9795488087708197E-3</v>
      </c>
      <c r="R32" s="372">
        <f>'IMC References'!D105</f>
        <v>2.6684828118712815E-2</v>
      </c>
      <c r="T32" s="413"/>
      <c r="U32" s="302"/>
      <c r="V32" s="323"/>
      <c r="W32" s="361"/>
      <c r="X32" s="319"/>
      <c r="Y32" s="319"/>
      <c r="Z32" s="319"/>
      <c r="AA32" s="367"/>
      <c r="AB32" s="319"/>
      <c r="AC32" s="319"/>
      <c r="AD32" s="319"/>
      <c r="AE32" s="319"/>
      <c r="AF32" s="319"/>
      <c r="AG32" s="319"/>
      <c r="AH32" s="364"/>
      <c r="AI32" s="325"/>
      <c r="AJ32" s="319"/>
      <c r="AK32" s="319"/>
      <c r="AL32" s="366"/>
    </row>
    <row r="33" spans="1:118" ht="16" x14ac:dyDescent="0.2">
      <c r="A33" s="302"/>
      <c r="B33" s="373" t="s">
        <v>955</v>
      </c>
      <c r="C33" s="374"/>
      <c r="D33" s="375"/>
      <c r="E33" s="375"/>
      <c r="F33" s="375"/>
      <c r="G33" s="375"/>
      <c r="H33" s="375"/>
      <c r="I33" s="375"/>
      <c r="J33" s="375"/>
      <c r="K33" s="375"/>
      <c r="L33" s="375"/>
      <c r="M33" s="375"/>
      <c r="N33" s="376"/>
      <c r="O33" s="155">
        <f>'IMC References'!C111</f>
        <v>10000</v>
      </c>
      <c r="P33" s="377"/>
      <c r="Q33" s="378">
        <v>0</v>
      </c>
      <c r="R33" s="379">
        <v>0</v>
      </c>
      <c r="S33" s="302"/>
      <c r="T33" s="413"/>
      <c r="U33" s="302"/>
      <c r="V33" s="634" t="s">
        <v>956</v>
      </c>
      <c r="AK33" s="635">
        <f>'IMC References'!D126</f>
        <v>2.9102506115963669E-3</v>
      </c>
      <c r="AL33" s="372">
        <f>'IMC References'!D127</f>
        <v>6.3635826466610272E-3</v>
      </c>
    </row>
    <row r="34" spans="1:118" ht="12.75" customHeight="1" x14ac:dyDescent="0.2">
      <c r="A34" s="302"/>
      <c r="B34" s="380" t="s">
        <v>957</v>
      </c>
      <c r="C34" s="381"/>
      <c r="D34" s="382"/>
      <c r="E34" s="382"/>
      <c r="F34" s="382"/>
      <c r="G34" s="382"/>
      <c r="H34" s="382"/>
      <c r="I34" s="382"/>
      <c r="J34" s="382"/>
      <c r="K34" s="382"/>
      <c r="L34" s="382"/>
      <c r="M34" s="382"/>
      <c r="N34" s="383"/>
      <c r="O34" s="154">
        <f>O32+O28+O16+O15+O7</f>
        <v>147193.69999999998</v>
      </c>
      <c r="P34" s="384"/>
      <c r="Q34" s="591">
        <f>Q33+Q32+Q28+Q16+Q15+Q7</f>
        <v>8.5303516808770824E-2</v>
      </c>
      <c r="R34" s="590">
        <f>R33+R32+R28+R16+R15+R7</f>
        <v>9.5177804118712808E-2</v>
      </c>
      <c r="S34" s="302"/>
      <c r="T34" s="413"/>
      <c r="U34" s="302"/>
      <c r="V34" s="373" t="s">
        <v>955</v>
      </c>
      <c r="W34" s="374"/>
      <c r="X34" s="375"/>
      <c r="Y34" s="375"/>
      <c r="Z34" s="375"/>
      <c r="AA34" s="375"/>
      <c r="AB34" s="375"/>
      <c r="AC34" s="375"/>
      <c r="AD34" s="375"/>
      <c r="AE34" s="375"/>
      <c r="AF34" s="375"/>
      <c r="AG34" s="375"/>
      <c r="AH34" s="376"/>
      <c r="AI34" s="155">
        <f>'IMC References'!C113</f>
        <v>11500</v>
      </c>
      <c r="AJ34" s="377"/>
      <c r="AK34" s="378">
        <v>0</v>
      </c>
      <c r="AL34" s="379">
        <v>0</v>
      </c>
    </row>
    <row r="35" spans="1:118" ht="12.75" customHeight="1" x14ac:dyDescent="0.2">
      <c r="A35" s="302"/>
      <c r="B35" s="387"/>
      <c r="C35" s="388"/>
      <c r="D35" s="389"/>
      <c r="E35" s="389"/>
      <c r="F35" s="389"/>
      <c r="G35" s="389"/>
      <c r="H35" s="389"/>
      <c r="I35" s="389"/>
      <c r="J35" s="389"/>
      <c r="K35" s="389"/>
      <c r="L35" s="389"/>
      <c r="M35" s="389"/>
      <c r="N35" s="390"/>
      <c r="O35" s="391"/>
      <c r="P35" s="389"/>
      <c r="Q35" s="389"/>
      <c r="R35" s="392"/>
      <c r="S35" s="302"/>
      <c r="T35" s="413"/>
      <c r="U35" s="302"/>
      <c r="V35" s="647" t="s">
        <v>958</v>
      </c>
      <c r="W35" s="648"/>
      <c r="X35" s="649"/>
      <c r="Y35" s="649"/>
      <c r="Z35" s="649"/>
      <c r="AA35" s="649"/>
      <c r="AB35" s="649"/>
      <c r="AC35" s="649"/>
      <c r="AD35" s="649"/>
      <c r="AE35" s="649"/>
      <c r="AF35" s="649"/>
      <c r="AG35" s="649"/>
      <c r="AH35" s="650"/>
      <c r="AI35" s="651"/>
      <c r="AJ35" s="652"/>
      <c r="AK35" s="653">
        <f>'IMC References'!C132</f>
        <v>0.01</v>
      </c>
      <c r="AL35" s="654">
        <f>'IMC References'!C132</f>
        <v>0.01</v>
      </c>
    </row>
    <row r="36" spans="1:118" ht="16" x14ac:dyDescent="0.2">
      <c r="A36" s="302"/>
      <c r="B36" s="646"/>
      <c r="C36" s="388"/>
      <c r="D36" s="389"/>
      <c r="E36" s="389"/>
      <c r="F36" s="389"/>
      <c r="G36" s="389"/>
      <c r="H36" s="389"/>
      <c r="I36" s="389"/>
      <c r="J36" s="389"/>
      <c r="K36" s="389"/>
      <c r="L36" s="389"/>
      <c r="M36" s="389"/>
      <c r="N36" s="390"/>
      <c r="O36" s="391"/>
      <c r="P36" s="389"/>
      <c r="Q36" s="389"/>
      <c r="R36" s="392"/>
      <c r="S36" s="302"/>
      <c r="T36" s="413"/>
      <c r="U36" s="302"/>
      <c r="V36" s="380" t="s">
        <v>957</v>
      </c>
      <c r="W36" s="381"/>
      <c r="X36" s="382"/>
      <c r="Y36" s="382"/>
      <c r="Z36" s="382"/>
      <c r="AA36" s="382"/>
      <c r="AB36" s="382"/>
      <c r="AC36" s="382"/>
      <c r="AD36" s="382"/>
      <c r="AE36" s="382"/>
      <c r="AF36" s="382"/>
      <c r="AG36" s="382"/>
      <c r="AH36" s="383"/>
      <c r="AI36" s="154">
        <f>AI31+AI28+AI16+AI15+AI7</f>
        <v>147193.69999999998</v>
      </c>
      <c r="AJ36" s="384"/>
      <c r="AK36" s="385">
        <f>AK34+AK31+AK28+AK16+AK15+AK7+AK33+AK35</f>
        <v>9.8104157902794184E-2</v>
      </c>
      <c r="AL36" s="386">
        <f>AL34+AL31+AL28+AL16+AL15+AL7+AL33+AL35</f>
        <v>0.11085572079898109</v>
      </c>
    </row>
    <row r="37" spans="1:118" ht="16" x14ac:dyDescent="0.2">
      <c r="A37" s="302"/>
      <c r="B37" s="153" t="s">
        <v>959</v>
      </c>
      <c r="C37" s="361"/>
      <c r="D37" s="319"/>
      <c r="E37" s="319"/>
      <c r="F37" s="319"/>
      <c r="G37" s="319"/>
      <c r="H37" s="319"/>
      <c r="I37" s="319"/>
      <c r="J37" s="319"/>
      <c r="K37" s="319"/>
      <c r="L37" s="319"/>
      <c r="M37" s="319"/>
      <c r="N37" s="320"/>
      <c r="O37" s="393"/>
      <c r="P37" s="319"/>
      <c r="Q37" s="319"/>
      <c r="R37" s="366"/>
      <c r="S37" s="302"/>
      <c r="T37" s="413"/>
      <c r="U37" s="302"/>
      <c r="V37" s="387"/>
      <c r="W37" s="388"/>
      <c r="X37" s="389"/>
      <c r="Y37" s="389"/>
      <c r="Z37" s="389"/>
      <c r="AA37" s="389"/>
      <c r="AB37" s="389"/>
      <c r="AC37" s="389"/>
      <c r="AD37" s="389"/>
      <c r="AE37" s="389"/>
      <c r="AF37" s="389"/>
      <c r="AG37" s="389"/>
      <c r="AH37" s="390"/>
      <c r="AI37" s="391"/>
      <c r="AJ37" s="389"/>
      <c r="AK37" s="389"/>
      <c r="AL37" s="392"/>
    </row>
    <row r="38" spans="1:118" ht="16" x14ac:dyDescent="0.2">
      <c r="A38" s="302"/>
      <c r="B38" s="394" t="s">
        <v>960</v>
      </c>
      <c r="C38" s="361"/>
      <c r="D38" s="319"/>
      <c r="E38" s="319"/>
      <c r="F38" s="319"/>
      <c r="G38" s="319"/>
      <c r="H38" s="319"/>
      <c r="I38" s="319"/>
      <c r="J38" s="319"/>
      <c r="K38" s="319"/>
      <c r="L38" s="319"/>
      <c r="M38" s="319"/>
      <c r="N38" s="320"/>
      <c r="O38" s="168">
        <f>5000+O39+O40</f>
        <v>20850</v>
      </c>
      <c r="P38" s="319"/>
      <c r="Q38" s="395"/>
      <c r="R38" s="366"/>
      <c r="S38" s="302"/>
      <c r="T38" s="413"/>
      <c r="U38" s="302"/>
      <c r="V38" s="153" t="s">
        <v>959</v>
      </c>
      <c r="W38" s="361"/>
      <c r="X38" s="319"/>
      <c r="Y38" s="319"/>
      <c r="Z38" s="319"/>
      <c r="AA38" s="319"/>
      <c r="AB38" s="319"/>
      <c r="AC38" s="319"/>
      <c r="AD38" s="319"/>
      <c r="AE38" s="319"/>
      <c r="AF38" s="319"/>
      <c r="AG38" s="319"/>
      <c r="AH38" s="320"/>
      <c r="AI38" s="393"/>
      <c r="AJ38" s="319"/>
      <c r="AK38" s="319"/>
      <c r="AL38" s="366"/>
    </row>
    <row r="39" spans="1:118" ht="16" x14ac:dyDescent="0.2">
      <c r="A39" s="302"/>
      <c r="B39" s="350" t="s">
        <v>961</v>
      </c>
      <c r="C39" s="396"/>
      <c r="D39" s="319"/>
      <c r="E39" s="319"/>
      <c r="F39" s="319"/>
      <c r="G39" s="319"/>
      <c r="H39" s="319"/>
      <c r="I39" s="319"/>
      <c r="J39" s="319"/>
      <c r="K39" s="319"/>
      <c r="L39" s="319"/>
      <c r="M39" s="319"/>
      <c r="N39" s="320"/>
      <c r="O39" s="325">
        <f>(64*70)*2</f>
        <v>8960</v>
      </c>
      <c r="P39" s="319"/>
      <c r="Q39" s="319"/>
      <c r="R39" s="366"/>
      <c r="S39" s="302"/>
      <c r="T39" s="413"/>
      <c r="U39" s="302"/>
      <c r="V39" s="394" t="s">
        <v>960</v>
      </c>
      <c r="W39" s="361"/>
      <c r="X39" s="319"/>
      <c r="Y39" s="319"/>
      <c r="Z39" s="319"/>
      <c r="AA39" s="319"/>
      <c r="AB39" s="319"/>
      <c r="AC39" s="319"/>
      <c r="AD39" s="319"/>
      <c r="AE39" s="319"/>
      <c r="AF39" s="319"/>
      <c r="AG39" s="319"/>
      <c r="AH39" s="320"/>
      <c r="AI39" s="168">
        <f>5000+AI40+AI41</f>
        <v>20850</v>
      </c>
      <c r="AJ39" s="319"/>
      <c r="AK39" s="395"/>
      <c r="AL39" s="366"/>
    </row>
    <row r="40" spans="1:118" ht="16" x14ac:dyDescent="0.2">
      <c r="A40" s="302"/>
      <c r="B40" s="350" t="s">
        <v>962</v>
      </c>
      <c r="C40" s="361"/>
      <c r="D40" s="319"/>
      <c r="E40" s="397"/>
      <c r="F40" s="319"/>
      <c r="G40" s="319"/>
      <c r="H40" s="319"/>
      <c r="I40" s="319"/>
      <c r="J40" s="319"/>
      <c r="K40" s="319"/>
      <c r="L40" s="319"/>
      <c r="M40" s="319"/>
      <c r="N40" s="320"/>
      <c r="O40" s="325">
        <f>3445*2</f>
        <v>6890</v>
      </c>
      <c r="P40" s="319"/>
      <c r="Q40" s="319"/>
      <c r="R40" s="366"/>
      <c r="S40" s="302"/>
      <c r="T40" s="413"/>
      <c r="U40" s="302"/>
      <c r="V40" s="350" t="s">
        <v>961</v>
      </c>
      <c r="W40" s="396"/>
      <c r="X40" s="319"/>
      <c r="Y40" s="319"/>
      <c r="Z40" s="319"/>
      <c r="AA40" s="319"/>
      <c r="AB40" s="319"/>
      <c r="AC40" s="319"/>
      <c r="AD40" s="319"/>
      <c r="AE40" s="319"/>
      <c r="AF40" s="319"/>
      <c r="AG40" s="319"/>
      <c r="AH40" s="320"/>
      <c r="AI40" s="325">
        <f>(64*70)*2</f>
        <v>8960</v>
      </c>
      <c r="AJ40" s="319"/>
      <c r="AK40" s="319"/>
      <c r="AL40" s="366"/>
    </row>
    <row r="41" spans="1:118" ht="16" x14ac:dyDescent="0.2">
      <c r="A41" s="302"/>
      <c r="B41" s="327" t="s">
        <v>963</v>
      </c>
      <c r="C41" s="361"/>
      <c r="D41" s="319"/>
      <c r="E41" s="319"/>
      <c r="F41" s="319"/>
      <c r="G41" s="319"/>
      <c r="H41" s="319"/>
      <c r="I41" s="319"/>
      <c r="J41" s="319"/>
      <c r="K41" s="319"/>
      <c r="L41" s="319"/>
      <c r="M41" s="319"/>
      <c r="N41" s="320"/>
      <c r="O41" s="152">
        <f>O42</f>
        <v>5280</v>
      </c>
      <c r="P41" s="319"/>
      <c r="Q41" s="319"/>
      <c r="R41" s="366"/>
      <c r="T41" s="413"/>
      <c r="U41" s="302"/>
      <c r="V41" s="350" t="s">
        <v>962</v>
      </c>
      <c r="W41" s="361"/>
      <c r="X41" s="319"/>
      <c r="Y41" s="397"/>
      <c r="Z41" s="319"/>
      <c r="AA41" s="319"/>
      <c r="AB41" s="319"/>
      <c r="AC41" s="319"/>
      <c r="AD41" s="319"/>
      <c r="AE41" s="319"/>
      <c r="AF41" s="319"/>
      <c r="AG41" s="319"/>
      <c r="AH41" s="320"/>
      <c r="AI41" s="325">
        <f>3445*2</f>
        <v>6890</v>
      </c>
      <c r="AJ41" s="319"/>
      <c r="AK41" s="319"/>
      <c r="AL41" s="366"/>
    </row>
    <row r="42" spans="1:118" ht="16" x14ac:dyDescent="0.2">
      <c r="A42" s="302"/>
      <c r="B42" s="398" t="s">
        <v>964</v>
      </c>
      <c r="C42" s="374"/>
      <c r="D42" s="399"/>
      <c r="E42" s="400"/>
      <c r="F42" s="375"/>
      <c r="G42" s="375"/>
      <c r="H42" s="375"/>
      <c r="I42" s="375"/>
      <c r="J42" s="375"/>
      <c r="K42" s="375"/>
      <c r="L42" s="375"/>
      <c r="M42" s="375"/>
      <c r="N42" s="376"/>
      <c r="O42" s="401">
        <v>5280</v>
      </c>
      <c r="P42" s="375"/>
      <c r="Q42" s="375"/>
      <c r="R42" s="402"/>
      <c r="S42" s="302"/>
      <c r="T42" s="413"/>
      <c r="U42" s="302"/>
      <c r="V42" s="327" t="s">
        <v>963</v>
      </c>
      <c r="W42" s="361"/>
      <c r="X42" s="319"/>
      <c r="Y42" s="319"/>
      <c r="Z42" s="319"/>
      <c r="AA42" s="319"/>
      <c r="AB42" s="319"/>
      <c r="AC42" s="319"/>
      <c r="AD42" s="319"/>
      <c r="AE42" s="319"/>
      <c r="AF42" s="319"/>
      <c r="AG42" s="319"/>
      <c r="AH42" s="320"/>
      <c r="AI42" s="152">
        <f>AI43</f>
        <v>5280</v>
      </c>
      <c r="AJ42" s="319"/>
      <c r="AK42" s="319"/>
      <c r="AL42" s="366"/>
    </row>
    <row r="43" spans="1:118" ht="13.5" customHeight="1" x14ac:dyDescent="0.2">
      <c r="A43" s="302"/>
      <c r="B43" s="403" t="s">
        <v>965</v>
      </c>
      <c r="C43" s="404"/>
      <c r="D43" s="405"/>
      <c r="E43" s="405"/>
      <c r="F43" s="405"/>
      <c r="G43" s="405"/>
      <c r="H43" s="405"/>
      <c r="I43" s="405"/>
      <c r="J43" s="405"/>
      <c r="K43" s="405"/>
      <c r="L43" s="405"/>
      <c r="M43" s="405"/>
      <c r="N43" s="406"/>
      <c r="O43" s="151">
        <f>O41+O38</f>
        <v>26130</v>
      </c>
      <c r="P43" s="405"/>
      <c r="Q43" s="405"/>
      <c r="R43" s="407"/>
      <c r="S43" s="302"/>
      <c r="T43" s="413"/>
      <c r="U43" s="302"/>
      <c r="V43" s="398" t="s">
        <v>964</v>
      </c>
      <c r="W43" s="374"/>
      <c r="X43" s="399"/>
      <c r="Y43" s="400"/>
      <c r="Z43" s="375"/>
      <c r="AA43" s="375"/>
      <c r="AB43" s="375"/>
      <c r="AC43" s="375"/>
      <c r="AD43" s="375"/>
      <c r="AE43" s="375"/>
      <c r="AF43" s="375"/>
      <c r="AG43" s="375"/>
      <c r="AH43" s="376"/>
      <c r="AI43" s="401">
        <v>5280</v>
      </c>
      <c r="AJ43" s="375"/>
      <c r="AK43" s="375"/>
      <c r="AL43" s="402"/>
    </row>
    <row r="44" spans="1:118" ht="16" x14ac:dyDescent="0.2">
      <c r="A44" s="302"/>
      <c r="B44" s="302"/>
      <c r="C44" s="302"/>
      <c r="D44" s="302"/>
      <c r="E44" s="302"/>
      <c r="F44" s="302"/>
      <c r="G44" s="302"/>
      <c r="H44" s="302"/>
      <c r="I44" s="302"/>
      <c r="J44" s="302"/>
      <c r="K44" s="302"/>
      <c r="L44" s="302"/>
      <c r="M44" s="302"/>
      <c r="N44" s="302"/>
      <c r="O44" s="302"/>
      <c r="P44" s="302"/>
      <c r="Q44" s="302"/>
      <c r="R44" s="302"/>
      <c r="S44" s="302"/>
      <c r="T44" s="413"/>
      <c r="U44" s="302"/>
      <c r="V44" s="403" t="s">
        <v>965</v>
      </c>
      <c r="W44" s="404"/>
      <c r="X44" s="405"/>
      <c r="Y44" s="405"/>
      <c r="Z44" s="405"/>
      <c r="AA44" s="405"/>
      <c r="AB44" s="405"/>
      <c r="AC44" s="405"/>
      <c r="AD44" s="405"/>
      <c r="AE44" s="405"/>
      <c r="AF44" s="405"/>
      <c r="AG44" s="405"/>
      <c r="AH44" s="406"/>
      <c r="AI44" s="151">
        <f>AI42+AI39</f>
        <v>26130</v>
      </c>
      <c r="AJ44" s="405"/>
      <c r="AK44" s="405"/>
      <c r="AL44" s="407"/>
    </row>
    <row r="45" spans="1:118" ht="16" x14ac:dyDescent="0.2">
      <c r="A45" s="302"/>
      <c r="B45" s="408" t="s">
        <v>966</v>
      </c>
      <c r="C45" s="409"/>
      <c r="D45" s="410"/>
      <c r="E45" s="410"/>
      <c r="F45" s="410"/>
      <c r="G45" s="410"/>
      <c r="H45" s="410"/>
      <c r="I45" s="410"/>
      <c r="J45" s="410"/>
      <c r="K45" s="410"/>
      <c r="L45" s="410"/>
      <c r="M45" s="410"/>
      <c r="N45" s="411"/>
      <c r="O45" s="150">
        <f>O34+O43</f>
        <v>173323.69999999998</v>
      </c>
      <c r="P45" s="410"/>
      <c r="Q45" s="410"/>
      <c r="R45" s="412"/>
      <c r="S45" s="302"/>
      <c r="T45" s="413"/>
      <c r="U45" s="302"/>
      <c r="V45" s="302"/>
      <c r="W45" s="302"/>
      <c r="X45" s="302"/>
      <c r="Y45" s="302"/>
      <c r="Z45" s="302"/>
      <c r="AA45" s="302"/>
      <c r="AB45" s="302"/>
      <c r="AC45" s="302"/>
      <c r="AD45" s="302"/>
      <c r="AE45" s="302"/>
      <c r="AF45" s="302"/>
      <c r="AG45" s="302"/>
      <c r="AH45" s="302"/>
      <c r="AI45" s="302"/>
      <c r="AJ45" s="302"/>
      <c r="AK45" s="302"/>
      <c r="AL45" s="302"/>
    </row>
    <row r="46" spans="1:118" s="471" customFormat="1" ht="16" x14ac:dyDescent="0.2">
      <c r="A46" s="302"/>
      <c r="B46" s="636"/>
      <c r="C46" s="637"/>
      <c r="D46" s="637"/>
      <c r="E46" s="637"/>
      <c r="F46" s="637"/>
      <c r="G46" s="637"/>
      <c r="H46" s="637"/>
      <c r="I46" s="637"/>
      <c r="J46" s="637"/>
      <c r="K46" s="637"/>
      <c r="L46" s="637"/>
      <c r="M46" s="637"/>
      <c r="N46" s="637"/>
      <c r="O46" s="638"/>
      <c r="P46" s="637"/>
      <c r="Q46" s="637"/>
      <c r="R46" s="637"/>
      <c r="S46" s="302"/>
      <c r="T46" s="413"/>
      <c r="U46" s="600"/>
      <c r="V46" s="408" t="s">
        <v>966</v>
      </c>
      <c r="W46" s="409"/>
      <c r="X46" s="410"/>
      <c r="Y46" s="410"/>
      <c r="Z46" s="410"/>
      <c r="AA46" s="410"/>
      <c r="AB46" s="410"/>
      <c r="AC46" s="410"/>
      <c r="AD46" s="410"/>
      <c r="AE46" s="410"/>
      <c r="AF46" s="410"/>
      <c r="AG46" s="410"/>
      <c r="AH46" s="411"/>
      <c r="AI46" s="150">
        <f>AI36+AI44</f>
        <v>173323.69999999998</v>
      </c>
      <c r="AJ46" s="410"/>
      <c r="AK46" s="410"/>
      <c r="AL46" s="4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row>
    <row r="47" spans="1:118" ht="16" x14ac:dyDescent="0.2">
      <c r="A47" s="302"/>
      <c r="B47" s="302"/>
      <c r="C47" s="302"/>
      <c r="D47" s="302"/>
      <c r="E47" s="302"/>
      <c r="F47" s="302"/>
      <c r="G47" s="302"/>
      <c r="H47" s="302"/>
      <c r="I47" s="302"/>
      <c r="J47" s="302"/>
      <c r="K47" s="302"/>
      <c r="L47" s="302"/>
      <c r="M47" s="302"/>
      <c r="N47" s="302"/>
      <c r="O47" s="302"/>
      <c r="P47" s="302"/>
      <c r="Q47" s="302"/>
      <c r="R47" s="302"/>
      <c r="S47" s="302"/>
      <c r="T47" s="413"/>
      <c r="U47" s="302"/>
      <c r="V47" s="302"/>
      <c r="W47" s="302"/>
      <c r="X47" s="302"/>
      <c r="Y47" s="302"/>
      <c r="Z47" s="302"/>
      <c r="AA47" s="302"/>
    </row>
    <row r="48" spans="1:118" ht="8" customHeight="1" x14ac:dyDescent="0.2">
      <c r="A48" s="413"/>
      <c r="B48" s="413"/>
      <c r="C48" s="413"/>
      <c r="D48" s="413"/>
      <c r="E48" s="413"/>
      <c r="F48" s="413"/>
      <c r="G48" s="413"/>
      <c r="H48" s="413"/>
      <c r="I48" s="413"/>
      <c r="J48" s="413"/>
      <c r="K48" s="413"/>
      <c r="L48" s="413"/>
      <c r="M48" s="413"/>
      <c r="N48" s="413"/>
      <c r="O48" s="413"/>
      <c r="P48" s="413"/>
      <c r="Q48" s="413"/>
      <c r="R48" s="413"/>
      <c r="S48" s="413"/>
      <c r="T48" s="413"/>
      <c r="U48" s="413"/>
      <c r="V48" s="413"/>
      <c r="W48" s="413"/>
      <c r="X48" s="413"/>
      <c r="Y48" s="413"/>
      <c r="Z48" s="413"/>
      <c r="AA48" s="413"/>
      <c r="AB48" s="471"/>
      <c r="AC48" s="471"/>
      <c r="AD48" s="471"/>
      <c r="AE48" s="471"/>
      <c r="AF48" s="471"/>
      <c r="AG48" s="471"/>
      <c r="AH48" s="471"/>
      <c r="AI48" s="471"/>
      <c r="AJ48" s="471"/>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1"/>
      <c r="BN48" s="471"/>
      <c r="BO48" s="471"/>
      <c r="BP48" s="471"/>
      <c r="BQ48" s="471"/>
      <c r="BR48" s="471"/>
      <c r="BS48" s="471"/>
      <c r="BT48" s="471"/>
      <c r="BU48" s="471"/>
      <c r="BV48" s="471"/>
      <c r="BW48" s="471"/>
      <c r="BX48" s="471"/>
      <c r="BY48" s="471"/>
      <c r="BZ48" s="471"/>
      <c r="CA48" s="471"/>
      <c r="CB48" s="471"/>
      <c r="CC48" s="471"/>
      <c r="CD48" s="471"/>
      <c r="CE48" s="471"/>
      <c r="CF48" s="471"/>
      <c r="CG48" s="471"/>
      <c r="CH48" s="471"/>
      <c r="CI48" s="471"/>
      <c r="CJ48" s="471"/>
      <c r="CK48" s="471"/>
      <c r="CL48" s="471"/>
      <c r="CM48" s="471"/>
      <c r="CN48" s="471"/>
      <c r="CO48" s="471"/>
      <c r="CP48" s="471"/>
      <c r="CQ48" s="471"/>
      <c r="CR48" s="471"/>
      <c r="CS48" s="471"/>
      <c r="CT48" s="471"/>
      <c r="CU48" s="471"/>
      <c r="CV48" s="471"/>
      <c r="CW48" s="471"/>
      <c r="CX48" s="471"/>
      <c r="CY48" s="471"/>
      <c r="CZ48" s="471"/>
      <c r="DA48" s="471"/>
      <c r="DB48" s="471"/>
      <c r="DC48" s="471"/>
      <c r="DD48" s="471"/>
      <c r="DE48" s="471"/>
    </row>
    <row r="49" spans="1:38" ht="16" x14ac:dyDescent="0.2">
      <c r="A49" s="302"/>
      <c r="B49" s="302"/>
      <c r="C49" s="302"/>
      <c r="D49" s="302"/>
      <c r="E49" s="302"/>
      <c r="F49" s="302"/>
      <c r="G49" s="302"/>
      <c r="H49" s="302"/>
      <c r="I49" s="302"/>
      <c r="J49" s="302"/>
      <c r="K49" s="302"/>
      <c r="L49" s="302"/>
      <c r="M49" s="302"/>
      <c r="N49" s="302"/>
      <c r="O49" s="302"/>
      <c r="P49" s="302"/>
      <c r="Q49" s="302"/>
      <c r="R49" s="302"/>
      <c r="S49" s="302"/>
      <c r="T49" s="413"/>
      <c r="U49" s="302"/>
      <c r="V49" s="302"/>
      <c r="W49" s="302"/>
      <c r="X49" s="302"/>
      <c r="Y49" s="302"/>
      <c r="Z49" s="302"/>
      <c r="AA49" s="302"/>
    </row>
    <row r="50" spans="1:38" ht="16" x14ac:dyDescent="0.2">
      <c r="A50" s="302"/>
      <c r="B50" s="474" t="s">
        <v>967</v>
      </c>
      <c r="C50" s="304"/>
      <c r="D50" s="302"/>
      <c r="E50" s="302"/>
      <c r="F50" s="302"/>
      <c r="G50" s="302"/>
      <c r="H50" s="302"/>
      <c r="I50" s="302"/>
      <c r="J50" s="302"/>
      <c r="K50" s="302"/>
      <c r="L50" s="302"/>
      <c r="M50" s="302"/>
      <c r="N50" s="302"/>
      <c r="O50" s="302"/>
      <c r="P50" s="302"/>
      <c r="Q50" s="302"/>
      <c r="R50" s="302"/>
      <c r="S50" s="302"/>
      <c r="T50" s="413"/>
      <c r="U50" s="302"/>
      <c r="V50" s="474" t="s">
        <v>968</v>
      </c>
      <c r="W50" s="304"/>
      <c r="X50" s="302"/>
      <c r="Y50" s="302"/>
      <c r="Z50" s="302"/>
      <c r="AA50" s="302"/>
      <c r="AB50" s="302"/>
      <c r="AC50" s="302"/>
      <c r="AD50" s="302"/>
      <c r="AE50" s="302"/>
      <c r="AF50" s="302"/>
      <c r="AG50" s="302"/>
      <c r="AH50" s="302"/>
      <c r="AI50" s="302"/>
      <c r="AJ50" s="302"/>
      <c r="AK50" s="302"/>
      <c r="AL50" s="302"/>
    </row>
    <row r="51" spans="1:38" ht="16" x14ac:dyDescent="0.2">
      <c r="A51" s="302"/>
      <c r="B51" s="475" t="s">
        <v>969</v>
      </c>
      <c r="C51" s="302"/>
      <c r="D51" s="302"/>
      <c r="E51" s="302"/>
      <c r="F51" s="302"/>
      <c r="G51" s="302"/>
      <c r="H51" s="302"/>
      <c r="I51" s="302"/>
      <c r="J51" s="302"/>
      <c r="K51" s="302"/>
      <c r="L51" s="302"/>
      <c r="M51" s="302"/>
      <c r="N51" s="302"/>
      <c r="O51" s="302"/>
      <c r="P51" s="302"/>
      <c r="Q51" s="302"/>
      <c r="R51" s="302"/>
      <c r="S51" s="302"/>
      <c r="T51" s="413"/>
      <c r="U51" s="302"/>
      <c r="V51" s="475" t="s">
        <v>970</v>
      </c>
      <c r="W51" s="302"/>
      <c r="X51" s="302"/>
      <c r="Y51" s="302"/>
      <c r="Z51" s="302"/>
      <c r="AA51" s="302"/>
      <c r="AB51" s="302"/>
      <c r="AC51" s="302"/>
      <c r="AD51" s="302"/>
      <c r="AE51" s="302"/>
      <c r="AF51" s="302"/>
      <c r="AG51" s="302"/>
      <c r="AH51" s="302"/>
      <c r="AI51" s="302"/>
      <c r="AJ51" s="302"/>
      <c r="AK51" s="302"/>
      <c r="AL51" s="302"/>
    </row>
    <row r="52" spans="1:38" ht="16" x14ac:dyDescent="0.2">
      <c r="A52" s="302"/>
      <c r="B52" s="302"/>
      <c r="C52" s="302"/>
      <c r="D52" s="302"/>
      <c r="E52" s="302"/>
      <c r="F52" s="302"/>
      <c r="G52" s="302"/>
      <c r="H52" s="302"/>
      <c r="I52" s="302"/>
      <c r="J52" s="302"/>
      <c r="K52" s="302"/>
      <c r="L52" s="302"/>
      <c r="M52" s="302"/>
      <c r="N52" s="302"/>
      <c r="O52" s="302"/>
      <c r="P52" s="302"/>
      <c r="Q52" s="302"/>
      <c r="R52" s="302"/>
      <c r="S52" s="302"/>
      <c r="T52" s="413"/>
      <c r="U52" s="302"/>
      <c r="V52" s="302"/>
      <c r="W52" s="302"/>
      <c r="X52" s="302"/>
      <c r="Y52" s="302"/>
      <c r="Z52" s="302"/>
      <c r="AA52" s="302"/>
      <c r="AB52" s="302"/>
      <c r="AC52" s="302"/>
      <c r="AD52" s="302"/>
      <c r="AE52" s="302"/>
      <c r="AF52" s="302"/>
      <c r="AG52" s="302"/>
      <c r="AH52" s="302"/>
      <c r="AI52" s="302"/>
      <c r="AJ52" s="302"/>
      <c r="AK52" s="302"/>
      <c r="AL52" s="302"/>
    </row>
    <row r="53" spans="1:38" ht="32" x14ac:dyDescent="0.2">
      <c r="A53" s="302"/>
      <c r="B53" s="521" t="s">
        <v>971</v>
      </c>
      <c r="C53" s="414" t="s">
        <v>176</v>
      </c>
      <c r="D53" s="415" t="s">
        <v>916</v>
      </c>
      <c r="E53" s="415" t="s">
        <v>178</v>
      </c>
      <c r="F53" s="415" t="s">
        <v>179</v>
      </c>
      <c r="G53" s="415" t="s">
        <v>180</v>
      </c>
      <c r="H53" s="415" t="s">
        <v>181</v>
      </c>
      <c r="I53" s="415" t="s">
        <v>182</v>
      </c>
      <c r="J53" s="415" t="s">
        <v>183</v>
      </c>
      <c r="K53" s="415" t="s">
        <v>184</v>
      </c>
      <c r="L53" s="415" t="s">
        <v>185</v>
      </c>
      <c r="M53" s="415" t="s">
        <v>186</v>
      </c>
      <c r="N53" s="416" t="s">
        <v>187</v>
      </c>
      <c r="O53" s="417" t="s">
        <v>579</v>
      </c>
      <c r="P53" s="418" t="s">
        <v>917</v>
      </c>
      <c r="Q53" s="418" t="s">
        <v>918</v>
      </c>
      <c r="R53" s="419" t="s">
        <v>919</v>
      </c>
      <c r="S53" s="302"/>
      <c r="T53" s="413"/>
      <c r="U53" s="302"/>
      <c r="V53" s="521" t="s">
        <v>972</v>
      </c>
      <c r="W53" s="414" t="s">
        <v>176</v>
      </c>
      <c r="X53" s="415" t="s">
        <v>916</v>
      </c>
      <c r="Y53" s="415" t="s">
        <v>178</v>
      </c>
      <c r="Z53" s="415" t="s">
        <v>179</v>
      </c>
      <c r="AA53" s="415" t="s">
        <v>180</v>
      </c>
      <c r="AB53" s="415" t="s">
        <v>181</v>
      </c>
      <c r="AC53" s="415" t="s">
        <v>182</v>
      </c>
      <c r="AD53" s="415" t="s">
        <v>183</v>
      </c>
      <c r="AE53" s="415" t="s">
        <v>184</v>
      </c>
      <c r="AF53" s="415" t="s">
        <v>185</v>
      </c>
      <c r="AG53" s="415" t="s">
        <v>186</v>
      </c>
      <c r="AH53" s="416" t="s">
        <v>187</v>
      </c>
      <c r="AI53" s="417" t="s">
        <v>579</v>
      </c>
      <c r="AJ53" s="418" t="s">
        <v>917</v>
      </c>
      <c r="AK53" s="418" t="s">
        <v>918</v>
      </c>
      <c r="AL53" s="419" t="s">
        <v>919</v>
      </c>
    </row>
    <row r="54" spans="1:38" ht="16" x14ac:dyDescent="0.2">
      <c r="A54" s="302"/>
      <c r="B54" s="167" t="s">
        <v>921</v>
      </c>
      <c r="C54" s="420"/>
      <c r="D54" s="421"/>
      <c r="E54" s="421"/>
      <c r="F54" s="421"/>
      <c r="G54" s="421"/>
      <c r="H54" s="421"/>
      <c r="I54" s="421"/>
      <c r="J54" s="421"/>
      <c r="K54" s="421"/>
      <c r="L54" s="421"/>
      <c r="M54" s="421"/>
      <c r="N54" s="422"/>
      <c r="O54" s="423"/>
      <c r="P54" s="421"/>
      <c r="Q54" s="421"/>
      <c r="R54" s="424"/>
      <c r="S54" s="302"/>
      <c r="T54" s="413"/>
      <c r="U54" s="302"/>
      <c r="V54" s="167" t="s">
        <v>921</v>
      </c>
      <c r="W54" s="420"/>
      <c r="X54" s="421"/>
      <c r="Y54" s="421"/>
      <c r="Z54" s="421"/>
      <c r="AA54" s="421"/>
      <c r="AB54" s="421"/>
      <c r="AC54" s="421"/>
      <c r="AD54" s="421"/>
      <c r="AE54" s="421"/>
      <c r="AF54" s="421"/>
      <c r="AG54" s="421"/>
      <c r="AH54" s="422"/>
      <c r="AI54" s="423"/>
      <c r="AJ54" s="421"/>
      <c r="AK54" s="421"/>
      <c r="AL54" s="424"/>
    </row>
    <row r="55" spans="1:38" ht="16" x14ac:dyDescent="0.2">
      <c r="A55" s="302"/>
      <c r="B55" s="425" t="s">
        <v>973</v>
      </c>
      <c r="C55" s="426"/>
      <c r="D55" s="427"/>
      <c r="E55" s="427"/>
      <c r="F55" s="427"/>
      <c r="G55" s="427"/>
      <c r="H55" s="427"/>
      <c r="I55" s="427"/>
      <c r="J55" s="427"/>
      <c r="K55" s="427"/>
      <c r="L55" s="427"/>
      <c r="M55" s="427"/>
      <c r="N55" s="428"/>
      <c r="O55" s="166">
        <f>'IMC References'!D45</f>
        <v>172273</v>
      </c>
      <c r="P55" s="619">
        <f>'IMC References'!N45</f>
        <v>505.49708689225014</v>
      </c>
      <c r="Q55" s="616">
        <f>'IMC References'!G53</f>
        <v>3.9191748003939972E-2</v>
      </c>
      <c r="R55" s="617">
        <f>'IMC References'!H53</f>
        <v>5.0913840685096481E-2</v>
      </c>
      <c r="S55" s="302"/>
      <c r="T55" s="413"/>
      <c r="U55" s="302"/>
      <c r="V55" s="425" t="s">
        <v>973</v>
      </c>
      <c r="W55" s="426"/>
      <c r="X55" s="427"/>
      <c r="Y55" s="427"/>
      <c r="Z55" s="427"/>
      <c r="AA55" s="427"/>
      <c r="AB55" s="427"/>
      <c r="AC55" s="427"/>
      <c r="AD55" s="427"/>
      <c r="AE55" s="427"/>
      <c r="AF55" s="427"/>
      <c r="AG55" s="427"/>
      <c r="AH55" s="428"/>
      <c r="AI55" s="166">
        <f>'IMC References'!D45</f>
        <v>172273</v>
      </c>
      <c r="AJ55" s="619">
        <f>'IMC References'!N45</f>
        <v>505.49708689225014</v>
      </c>
      <c r="AK55" s="616">
        <f>'IMC References'!I53</f>
        <v>3.8183220760467575E-2</v>
      </c>
      <c r="AL55" s="617">
        <f>'IMC References'!J53</f>
        <v>5.0984107820265086E-2</v>
      </c>
    </row>
    <row r="56" spans="1:38" ht="16" x14ac:dyDescent="0.2">
      <c r="A56" s="302"/>
      <c r="B56" s="429" t="s">
        <v>974</v>
      </c>
      <c r="C56" s="426"/>
      <c r="D56" s="427"/>
      <c r="E56" s="427"/>
      <c r="F56" s="427"/>
      <c r="G56" s="430"/>
      <c r="H56" s="427"/>
      <c r="I56" s="427"/>
      <c r="J56" s="427"/>
      <c r="K56" s="427"/>
      <c r="L56" s="427"/>
      <c r="M56" s="427"/>
      <c r="N56" s="431"/>
      <c r="O56" s="480">
        <f>'IMC References'!D42</f>
        <v>63620</v>
      </c>
      <c r="P56" s="481">
        <f>'IMC References'!N42</f>
        <v>174.85015984415745</v>
      </c>
      <c r="Q56" s="482">
        <f>'IMC References'!G50</f>
        <v>1.6016411163755399E-2</v>
      </c>
      <c r="R56" s="483">
        <f>'IMC References'!H50</f>
        <v>3.310390793664171E-2</v>
      </c>
      <c r="S56" s="302"/>
      <c r="T56" s="413"/>
      <c r="U56" s="302"/>
      <c r="V56" s="429" t="s">
        <v>974</v>
      </c>
      <c r="W56" s="426"/>
      <c r="X56" s="427"/>
      <c r="Y56" s="427"/>
      <c r="Z56" s="427"/>
      <c r="AA56" s="430"/>
      <c r="AB56" s="427"/>
      <c r="AC56" s="427"/>
      <c r="AD56" s="427"/>
      <c r="AE56" s="427"/>
      <c r="AF56" s="427"/>
      <c r="AG56" s="427"/>
      <c r="AH56" s="431"/>
      <c r="AI56" s="480">
        <f>'IMC References'!D42</f>
        <v>63620</v>
      </c>
      <c r="AJ56" s="481">
        <f>'IMC References'!N42</f>
        <v>174.85015984415745</v>
      </c>
      <c r="AK56" s="482">
        <f>'IMC References'!I50</f>
        <v>1.560425840650459E-2</v>
      </c>
      <c r="AL56" s="614">
        <f>'IMC References'!J50</f>
        <v>3.3149595253534184E-2</v>
      </c>
    </row>
    <row r="57" spans="1:38" ht="16" x14ac:dyDescent="0.2">
      <c r="A57" s="302"/>
      <c r="B57" s="433" t="s">
        <v>975</v>
      </c>
      <c r="C57" s="426"/>
      <c r="D57" s="427"/>
      <c r="E57" s="427"/>
      <c r="F57" s="427"/>
      <c r="G57" s="430"/>
      <c r="H57" s="427"/>
      <c r="I57" s="427"/>
      <c r="J57" s="427"/>
      <c r="K57" s="427"/>
      <c r="L57" s="427"/>
      <c r="M57" s="427"/>
      <c r="N57" s="431"/>
      <c r="O57" s="480">
        <f>'IMC References'!D43</f>
        <v>107075</v>
      </c>
      <c r="P57" s="481">
        <f>'IMC References'!N43</f>
        <v>308.16829456946022</v>
      </c>
      <c r="Q57" s="482">
        <f>'IMC References'!I51</f>
        <v>1.984935446944323E-2</v>
      </c>
      <c r="R57" s="483">
        <f>'IMC References'!H51</f>
        <v>1.4062963234103281E-2</v>
      </c>
      <c r="S57" s="302"/>
      <c r="T57" s="413"/>
      <c r="U57" s="302"/>
      <c r="V57" s="433" t="s">
        <v>975</v>
      </c>
      <c r="W57" s="426"/>
      <c r="X57" s="427"/>
      <c r="Y57" s="427"/>
      <c r="Z57" s="427"/>
      <c r="AA57" s="430"/>
      <c r="AB57" s="427"/>
      <c r="AC57" s="427"/>
      <c r="AD57" s="427"/>
      <c r="AE57" s="427"/>
      <c r="AF57" s="427"/>
      <c r="AG57" s="427"/>
      <c r="AH57" s="431"/>
      <c r="AI57" s="480">
        <f>'IMC References'!D43</f>
        <v>107075</v>
      </c>
      <c r="AJ57" s="481">
        <f>'IMC References'!N43</f>
        <v>308.16829456946022</v>
      </c>
      <c r="AK57" s="482">
        <f>'IMC References'!I51</f>
        <v>1.984935446944323E-2</v>
      </c>
      <c r="AL57" s="614">
        <f>'IMC References'!J51</f>
        <v>1.4082371790306174E-2</v>
      </c>
    </row>
    <row r="58" spans="1:38" ht="16" x14ac:dyDescent="0.2">
      <c r="A58" s="302"/>
      <c r="B58" s="433" t="s">
        <v>976</v>
      </c>
      <c r="C58" s="426"/>
      <c r="D58" s="427"/>
      <c r="E58" s="427"/>
      <c r="F58" s="427"/>
      <c r="G58" s="430"/>
      <c r="H58" s="427"/>
      <c r="I58" s="427"/>
      <c r="J58" s="427"/>
      <c r="K58" s="427"/>
      <c r="L58" s="427"/>
      <c r="M58" s="427"/>
      <c r="N58" s="431"/>
      <c r="O58" s="480">
        <f>'IMC References'!D44</f>
        <v>1578</v>
      </c>
      <c r="P58" s="484">
        <f>'IMC References'!N44</f>
        <v>22.47863247863248</v>
      </c>
      <c r="Q58" s="482">
        <f>'IMC References'!G52</f>
        <v>2.8017045767502156E-3</v>
      </c>
      <c r="R58" s="483">
        <f>'IMC References'!H52</f>
        <v>3.7469695143514887E-3</v>
      </c>
      <c r="S58" s="302"/>
      <c r="T58" s="413"/>
      <c r="U58" s="302"/>
      <c r="V58" s="433" t="s">
        <v>976</v>
      </c>
      <c r="W58" s="426"/>
      <c r="X58" s="427"/>
      <c r="Y58" s="427"/>
      <c r="Z58" s="427"/>
      <c r="AA58" s="430"/>
      <c r="AB58" s="427"/>
      <c r="AC58" s="427"/>
      <c r="AD58" s="427"/>
      <c r="AE58" s="427"/>
      <c r="AF58" s="427"/>
      <c r="AG58" s="427"/>
      <c r="AH58" s="431"/>
      <c r="AI58" s="480">
        <f>'IMC References'!D44</f>
        <v>1578</v>
      </c>
      <c r="AJ58" s="484">
        <f>'IMC References'!N44</f>
        <v>22.47863247863248</v>
      </c>
      <c r="AK58" s="482">
        <f>'IMC References'!I52</f>
        <v>2.7296078845197532E-3</v>
      </c>
      <c r="AL58" s="614">
        <f>'IMC References'!J52</f>
        <v>3.7521407764247237E-3</v>
      </c>
    </row>
    <row r="59" spans="1:38" ht="32" x14ac:dyDescent="0.2">
      <c r="A59" s="302"/>
      <c r="B59" s="434" t="s">
        <v>977</v>
      </c>
      <c r="C59" s="426"/>
      <c r="D59" s="427"/>
      <c r="E59" s="427"/>
      <c r="F59" s="427"/>
      <c r="G59" s="427"/>
      <c r="H59" s="427"/>
      <c r="I59" s="427"/>
      <c r="J59" s="427"/>
      <c r="K59" s="427"/>
      <c r="L59" s="427"/>
      <c r="M59" s="427"/>
      <c r="N59" s="428"/>
      <c r="O59" s="163">
        <f>SUM(O60:O66)</f>
        <v>33554.959999999999</v>
      </c>
      <c r="P59" s="427"/>
      <c r="Q59" s="457">
        <f>'IMC References'!G37</f>
        <v>2.6843967999999999E-2</v>
      </c>
      <c r="R59" s="556">
        <f>'IMC References'!H37</f>
        <v>2.0132975999999997E-2</v>
      </c>
      <c r="S59" s="302"/>
      <c r="T59" s="413"/>
      <c r="U59" s="302"/>
      <c r="V59" s="434" t="s">
        <v>977</v>
      </c>
      <c r="W59" s="426"/>
      <c r="X59" s="427"/>
      <c r="Y59" s="427"/>
      <c r="Z59" s="427"/>
      <c r="AA59" s="427"/>
      <c r="AB59" s="427"/>
      <c r="AC59" s="427"/>
      <c r="AD59" s="427"/>
      <c r="AE59" s="427"/>
      <c r="AF59" s="427"/>
      <c r="AG59" s="427"/>
      <c r="AH59" s="428"/>
      <c r="AI59" s="163">
        <f>SUM(AI60:AI66)</f>
        <v>33554.959999999999</v>
      </c>
      <c r="AJ59" s="427"/>
      <c r="AK59" s="457">
        <f>'IMC References'!I37</f>
        <v>2.6843967999999999E-2</v>
      </c>
      <c r="AL59" s="556">
        <f>'IMC References'!J37</f>
        <v>2.0132975999999997E-2</v>
      </c>
    </row>
    <row r="60" spans="1:38" ht="32" x14ac:dyDescent="0.2">
      <c r="A60" s="302"/>
      <c r="B60" s="435" t="s">
        <v>923</v>
      </c>
      <c r="C60" s="426"/>
      <c r="D60" s="436"/>
      <c r="E60" s="436"/>
      <c r="F60" s="436"/>
      <c r="G60" s="436"/>
      <c r="H60" s="436"/>
      <c r="I60" s="436"/>
      <c r="J60" s="436"/>
      <c r="K60" s="436"/>
      <c r="L60" s="437"/>
      <c r="M60" s="436"/>
      <c r="N60" s="428"/>
      <c r="O60" s="485">
        <f>'IMC References'!I17</f>
        <v>3244</v>
      </c>
      <c r="P60" s="486"/>
      <c r="Q60" s="482">
        <f>'IMC References'!G30</f>
        <v>2.5952000000000002E-3</v>
      </c>
      <c r="R60" s="483">
        <f>'IMC References'!H30</f>
        <v>1.9463999999999998E-3</v>
      </c>
      <c r="S60" s="302"/>
      <c r="T60" s="413"/>
      <c r="U60" s="302"/>
      <c r="V60" s="435" t="s">
        <v>923</v>
      </c>
      <c r="W60" s="426"/>
      <c r="X60" s="436"/>
      <c r="Y60" s="436"/>
      <c r="Z60" s="436"/>
      <c r="AA60" s="436"/>
      <c r="AB60" s="436"/>
      <c r="AC60" s="436"/>
      <c r="AD60" s="436"/>
      <c r="AE60" s="436"/>
      <c r="AF60" s="437"/>
      <c r="AG60" s="436"/>
      <c r="AH60" s="428"/>
      <c r="AI60" s="485">
        <f>'IMC References'!I17</f>
        <v>3244</v>
      </c>
      <c r="AJ60" s="486"/>
      <c r="AK60" s="482">
        <f>'IMC References'!I30</f>
        <v>2.5952000000000002E-3</v>
      </c>
      <c r="AL60" s="614">
        <f>'IMC References'!J30</f>
        <v>1.9463999999999998E-3</v>
      </c>
    </row>
    <row r="61" spans="1:38" ht="16" x14ac:dyDescent="0.2">
      <c r="A61" s="302"/>
      <c r="B61" s="435" t="s">
        <v>978</v>
      </c>
      <c r="C61" s="426"/>
      <c r="D61" s="436"/>
      <c r="E61" s="436"/>
      <c r="F61" s="436"/>
      <c r="G61" s="436"/>
      <c r="H61" s="436"/>
      <c r="I61" s="436"/>
      <c r="J61" s="436"/>
      <c r="K61" s="436"/>
      <c r="L61" s="437"/>
      <c r="M61" s="169"/>
      <c r="N61" s="428"/>
      <c r="O61" s="485">
        <f>'IMC References'!I18</f>
        <v>6644</v>
      </c>
      <c r="P61" s="486"/>
      <c r="Q61" s="482">
        <f>'IMC References'!G31</f>
        <v>5.3152E-3</v>
      </c>
      <c r="R61" s="483">
        <f>'IMC References'!H31</f>
        <v>3.9863999999999993E-3</v>
      </c>
      <c r="S61" s="302"/>
      <c r="T61" s="413"/>
      <c r="U61" s="302"/>
      <c r="V61" s="435" t="s">
        <v>978</v>
      </c>
      <c r="W61" s="426"/>
      <c r="X61" s="436"/>
      <c r="Y61" s="436"/>
      <c r="Z61" s="436"/>
      <c r="AA61" s="436"/>
      <c r="AB61" s="436"/>
      <c r="AC61" s="436"/>
      <c r="AD61" s="436"/>
      <c r="AE61" s="436"/>
      <c r="AF61" s="437"/>
      <c r="AG61" s="169"/>
      <c r="AH61" s="428"/>
      <c r="AI61" s="485">
        <f>'IMC References'!I18</f>
        <v>6644</v>
      </c>
      <c r="AJ61" s="486"/>
      <c r="AK61" s="482">
        <f>'IMC References'!I31</f>
        <v>5.3152E-3</v>
      </c>
      <c r="AL61" s="614">
        <f>'IMC References'!J31</f>
        <v>3.9863999999999993E-3</v>
      </c>
    </row>
    <row r="62" spans="1:38" ht="32" x14ac:dyDescent="0.2">
      <c r="A62" s="302"/>
      <c r="B62" s="435" t="s">
        <v>925</v>
      </c>
      <c r="C62" s="426"/>
      <c r="D62" s="436"/>
      <c r="E62" s="436"/>
      <c r="F62" s="436"/>
      <c r="G62" s="436"/>
      <c r="H62" s="436"/>
      <c r="I62" s="436"/>
      <c r="J62" s="436"/>
      <c r="K62" s="436"/>
      <c r="L62" s="169"/>
      <c r="M62" s="437"/>
      <c r="N62" s="428"/>
      <c r="O62" s="485">
        <f>'IMC References'!I19</f>
        <v>4242.96</v>
      </c>
      <c r="P62" s="486"/>
      <c r="Q62" s="482">
        <f>'IMC References'!G32</f>
        <v>3.394368E-3</v>
      </c>
      <c r="R62" s="483">
        <f>'IMC References'!H32</f>
        <v>2.5457759999999996E-3</v>
      </c>
      <c r="S62" s="302"/>
      <c r="T62" s="413"/>
      <c r="U62" s="302"/>
      <c r="V62" s="435" t="s">
        <v>925</v>
      </c>
      <c r="W62" s="426"/>
      <c r="X62" s="436"/>
      <c r="Y62" s="436"/>
      <c r="Z62" s="436"/>
      <c r="AA62" s="436"/>
      <c r="AB62" s="436"/>
      <c r="AC62" s="436"/>
      <c r="AD62" s="436"/>
      <c r="AE62" s="436"/>
      <c r="AF62" s="169"/>
      <c r="AG62" s="437"/>
      <c r="AH62" s="428"/>
      <c r="AI62" s="485">
        <f>'IMC References'!I19</f>
        <v>4242.96</v>
      </c>
      <c r="AJ62" s="486"/>
      <c r="AK62" s="482">
        <f>'IMC References'!I32</f>
        <v>3.394368E-3</v>
      </c>
      <c r="AL62" s="614">
        <f>'IMC References'!J32</f>
        <v>2.5457759999999996E-3</v>
      </c>
    </row>
    <row r="63" spans="1:38" ht="16" x14ac:dyDescent="0.2">
      <c r="A63" s="302"/>
      <c r="B63" s="435" t="s">
        <v>979</v>
      </c>
      <c r="C63" s="426"/>
      <c r="D63" s="436"/>
      <c r="E63" s="436"/>
      <c r="F63" s="436"/>
      <c r="G63" s="436"/>
      <c r="H63" s="436"/>
      <c r="I63" s="436"/>
      <c r="J63" s="436"/>
      <c r="K63" s="436"/>
      <c r="L63" s="169"/>
      <c r="M63" s="437"/>
      <c r="N63" s="428"/>
      <c r="O63" s="485">
        <f>'IMC References'!I20</f>
        <v>3694</v>
      </c>
      <c r="P63" s="486"/>
      <c r="Q63" s="482">
        <f>'IMC References'!G33</f>
        <v>2.9551999999999998E-3</v>
      </c>
      <c r="R63" s="483">
        <f>'IMC References'!H33</f>
        <v>2.2163999999999999E-3</v>
      </c>
      <c r="S63" s="302"/>
      <c r="T63" s="413"/>
      <c r="U63" s="302"/>
      <c r="V63" s="435" t="s">
        <v>979</v>
      </c>
      <c r="W63" s="426"/>
      <c r="X63" s="436"/>
      <c r="Y63" s="436"/>
      <c r="Z63" s="436"/>
      <c r="AA63" s="436"/>
      <c r="AB63" s="436"/>
      <c r="AC63" s="436"/>
      <c r="AD63" s="436"/>
      <c r="AE63" s="436"/>
      <c r="AF63" s="169"/>
      <c r="AG63" s="437"/>
      <c r="AH63" s="428"/>
      <c r="AI63" s="485">
        <f>'IMC References'!I20</f>
        <v>3694</v>
      </c>
      <c r="AJ63" s="486"/>
      <c r="AK63" s="482">
        <f>'IMC References'!I33</f>
        <v>2.9551999999999998E-3</v>
      </c>
      <c r="AL63" s="614">
        <f>'IMC References'!J33</f>
        <v>2.2163999999999999E-3</v>
      </c>
    </row>
    <row r="64" spans="1:38" ht="32" x14ac:dyDescent="0.2">
      <c r="A64" s="302"/>
      <c r="B64" s="435" t="s">
        <v>927</v>
      </c>
      <c r="C64" s="426"/>
      <c r="D64" s="436"/>
      <c r="E64" s="436"/>
      <c r="F64" s="436"/>
      <c r="G64" s="436"/>
      <c r="H64" s="436"/>
      <c r="I64" s="436"/>
      <c r="J64" s="436"/>
      <c r="K64" s="436"/>
      <c r="L64" s="436"/>
      <c r="M64" s="437"/>
      <c r="N64" s="428"/>
      <c r="O64" s="485">
        <f>'IMC References'!I21</f>
        <v>5643</v>
      </c>
      <c r="P64" s="486"/>
      <c r="Q64" s="482">
        <f>'IMC References'!G34</f>
        <v>4.5144E-3</v>
      </c>
      <c r="R64" s="483">
        <f>'IMC References'!H34</f>
        <v>3.3857999999999996E-3</v>
      </c>
      <c r="S64" s="302"/>
      <c r="T64" s="413"/>
      <c r="U64" s="302"/>
      <c r="V64" s="435" t="s">
        <v>927</v>
      </c>
      <c r="W64" s="426"/>
      <c r="X64" s="436"/>
      <c r="Y64" s="436"/>
      <c r="Z64" s="436"/>
      <c r="AA64" s="436"/>
      <c r="AB64" s="436"/>
      <c r="AC64" s="436"/>
      <c r="AD64" s="436"/>
      <c r="AE64" s="436"/>
      <c r="AF64" s="436"/>
      <c r="AG64" s="437"/>
      <c r="AH64" s="428"/>
      <c r="AI64" s="485">
        <f>'IMC References'!I21</f>
        <v>5643</v>
      </c>
      <c r="AJ64" s="486"/>
      <c r="AK64" s="482">
        <f>'IMC References'!I34</f>
        <v>4.5144E-3</v>
      </c>
      <c r="AL64" s="614">
        <f>'IMC References'!J34</f>
        <v>3.3857999999999996E-3</v>
      </c>
    </row>
    <row r="65" spans="1:38" ht="32" x14ac:dyDescent="0.2">
      <c r="A65" s="302"/>
      <c r="B65" s="435" t="s">
        <v>980</v>
      </c>
      <c r="C65" s="439"/>
      <c r="D65" s="436"/>
      <c r="E65" s="436"/>
      <c r="F65" s="436"/>
      <c r="G65" s="436"/>
      <c r="H65" s="436"/>
      <c r="I65" s="436"/>
      <c r="J65" s="436"/>
      <c r="K65" s="436"/>
      <c r="L65" s="436"/>
      <c r="M65" s="436"/>
      <c r="N65" s="428"/>
      <c r="O65" s="485">
        <f>'IMC References'!I22</f>
        <v>3543</v>
      </c>
      <c r="P65" s="486"/>
      <c r="Q65" s="482">
        <f>'IMC References'!G35</f>
        <v>2.8343999999999999E-3</v>
      </c>
      <c r="R65" s="483">
        <f>'IMC References'!H35</f>
        <v>2.1257999999999997E-3</v>
      </c>
      <c r="S65" s="302"/>
      <c r="T65" s="413"/>
      <c r="U65" s="302"/>
      <c r="V65" s="435" t="s">
        <v>980</v>
      </c>
      <c r="W65" s="439"/>
      <c r="X65" s="436"/>
      <c r="Y65" s="436"/>
      <c r="Z65" s="436"/>
      <c r="AA65" s="436"/>
      <c r="AB65" s="436"/>
      <c r="AC65" s="436"/>
      <c r="AD65" s="436"/>
      <c r="AE65" s="436"/>
      <c r="AF65" s="436"/>
      <c r="AG65" s="436"/>
      <c r="AH65" s="428"/>
      <c r="AI65" s="485">
        <f>'IMC References'!I22</f>
        <v>3543</v>
      </c>
      <c r="AJ65" s="486"/>
      <c r="AK65" s="482">
        <f>'IMC References'!I35</f>
        <v>2.8343999999999999E-3</v>
      </c>
      <c r="AL65" s="614">
        <f>'IMC References'!J35</f>
        <v>2.1257999999999997E-3</v>
      </c>
    </row>
    <row r="66" spans="1:38" ht="16" x14ac:dyDescent="0.2">
      <c r="A66" s="302"/>
      <c r="B66" s="435" t="s">
        <v>929</v>
      </c>
      <c r="C66" s="426"/>
      <c r="D66" s="436"/>
      <c r="E66" s="437"/>
      <c r="F66" s="436"/>
      <c r="G66" s="436"/>
      <c r="H66" s="436"/>
      <c r="I66" s="436"/>
      <c r="J66" s="436"/>
      <c r="K66" s="436"/>
      <c r="L66" s="436"/>
      <c r="M66" s="436"/>
      <c r="N66" s="428"/>
      <c r="O66" s="485">
        <f>'IMC References'!I23</f>
        <v>6544</v>
      </c>
      <c r="P66" s="486"/>
      <c r="Q66" s="482">
        <f>'IMC References'!G36</f>
        <v>5.2351999999999997E-3</v>
      </c>
      <c r="R66" s="483">
        <f>'IMC References'!H36</f>
        <v>3.9264E-3</v>
      </c>
      <c r="S66" s="302"/>
      <c r="T66" s="413"/>
      <c r="U66" s="302"/>
      <c r="V66" s="435" t="s">
        <v>929</v>
      </c>
      <c r="W66" s="426"/>
      <c r="X66" s="436"/>
      <c r="Y66" s="437"/>
      <c r="Z66" s="436"/>
      <c r="AA66" s="436"/>
      <c r="AB66" s="436"/>
      <c r="AC66" s="436"/>
      <c r="AD66" s="436"/>
      <c r="AE66" s="436"/>
      <c r="AF66" s="436"/>
      <c r="AG66" s="436"/>
      <c r="AH66" s="428"/>
      <c r="AI66" s="485">
        <f>'IMC References'!I23</f>
        <v>6544</v>
      </c>
      <c r="AJ66" s="486"/>
      <c r="AK66" s="482">
        <f>'IMC References'!I36</f>
        <v>5.2351999999999997E-3</v>
      </c>
      <c r="AL66" s="614">
        <f>'IMC References'!J36</f>
        <v>3.9264E-3</v>
      </c>
    </row>
    <row r="67" spans="1:38" ht="16" x14ac:dyDescent="0.2">
      <c r="A67" s="302"/>
      <c r="B67" s="440" t="s">
        <v>76</v>
      </c>
      <c r="C67" s="441"/>
      <c r="D67" s="442"/>
      <c r="E67" s="442"/>
      <c r="F67" s="442"/>
      <c r="G67" s="442"/>
      <c r="H67" s="442"/>
      <c r="I67" s="442"/>
      <c r="J67" s="442"/>
      <c r="K67" s="442"/>
      <c r="L67" s="442"/>
      <c r="M67" s="442"/>
      <c r="N67" s="443"/>
      <c r="O67" s="163">
        <f>'IMC References'!H113</f>
        <v>70381.989999999991</v>
      </c>
      <c r="P67" s="470"/>
      <c r="Q67" s="476">
        <v>0.06</v>
      </c>
      <c r="R67" s="477">
        <v>0.06</v>
      </c>
      <c r="S67" s="302"/>
      <c r="T67" s="413"/>
      <c r="U67" s="302"/>
      <c r="V67" s="440" t="s">
        <v>76</v>
      </c>
      <c r="W67" s="441"/>
      <c r="X67" s="442"/>
      <c r="Y67" s="442"/>
      <c r="Z67" s="442"/>
      <c r="AA67" s="442"/>
      <c r="AB67" s="442"/>
      <c r="AC67" s="442"/>
      <c r="AD67" s="442"/>
      <c r="AE67" s="442"/>
      <c r="AF67" s="442"/>
      <c r="AG67" s="442"/>
      <c r="AH67" s="443"/>
      <c r="AI67" s="626">
        <f>'IMC References'!I113</f>
        <v>79081.989999999991</v>
      </c>
      <c r="AJ67" s="470"/>
      <c r="AK67" s="476">
        <v>0.06</v>
      </c>
      <c r="AL67" s="615">
        <v>0.06</v>
      </c>
    </row>
    <row r="68" spans="1:38" ht="16" x14ac:dyDescent="0.2">
      <c r="A68" s="302"/>
      <c r="B68" s="434" t="s">
        <v>930</v>
      </c>
      <c r="C68" s="444"/>
      <c r="D68" s="436"/>
      <c r="E68" s="436"/>
      <c r="F68" s="436"/>
      <c r="G68" s="436"/>
      <c r="H68" s="436"/>
      <c r="I68" s="436"/>
      <c r="J68" s="436"/>
      <c r="K68" s="436"/>
      <c r="L68" s="436"/>
      <c r="M68" s="436"/>
      <c r="N68" s="445"/>
      <c r="O68" s="165">
        <f>'IMC References'!C66</f>
        <v>61200</v>
      </c>
      <c r="P68" s="446"/>
      <c r="Q68" s="557">
        <f>'IMC References'!G82</f>
        <v>2.4480000000000002E-2</v>
      </c>
      <c r="R68" s="558">
        <f>'IMC References'!H82</f>
        <v>1.8359999999999998E-2</v>
      </c>
      <c r="S68" s="302"/>
      <c r="T68" s="413"/>
      <c r="U68" s="302"/>
      <c r="V68" s="434" t="s">
        <v>930</v>
      </c>
      <c r="W68" s="444"/>
      <c r="X68" s="436"/>
      <c r="Y68" s="436"/>
      <c r="Z68" s="436"/>
      <c r="AA68" s="436"/>
      <c r="AB68" s="436"/>
      <c r="AC68" s="436"/>
      <c r="AD68" s="436"/>
      <c r="AE68" s="436"/>
      <c r="AF68" s="436"/>
      <c r="AG68" s="436"/>
      <c r="AH68" s="445"/>
      <c r="AI68" s="165">
        <f>'IMC References'!D66</f>
        <v>86000</v>
      </c>
      <c r="AJ68" s="446"/>
      <c r="AK68" s="557">
        <f>'IMC References'!I82</f>
        <v>3.44E-2</v>
      </c>
      <c r="AL68" s="558">
        <f>'IMC References'!J82</f>
        <v>2.5799999999999997E-2</v>
      </c>
    </row>
    <row r="69" spans="1:38" ht="48" x14ac:dyDescent="0.2">
      <c r="A69" s="302"/>
      <c r="B69" s="340" t="s">
        <v>931</v>
      </c>
      <c r="C69" s="444"/>
      <c r="D69" s="436"/>
      <c r="E69" s="436"/>
      <c r="F69" s="436"/>
      <c r="G69" s="302"/>
      <c r="H69" s="302"/>
      <c r="I69" s="302"/>
      <c r="J69" s="302"/>
      <c r="K69" s="302"/>
      <c r="L69" s="302"/>
      <c r="M69" s="302"/>
      <c r="N69" s="302"/>
      <c r="O69" s="165"/>
      <c r="P69" s="446"/>
      <c r="Q69" s="447"/>
      <c r="R69" s="448"/>
      <c r="S69" s="302"/>
      <c r="T69" s="413"/>
      <c r="U69" s="302"/>
      <c r="V69" s="340" t="s">
        <v>931</v>
      </c>
      <c r="W69" s="444"/>
      <c r="X69" s="436"/>
      <c r="Y69" s="436"/>
      <c r="Z69" s="436"/>
      <c r="AA69" s="302"/>
      <c r="AB69" s="302"/>
      <c r="AC69" s="302"/>
      <c r="AD69" s="302"/>
      <c r="AE69" s="302"/>
      <c r="AF69" s="302"/>
      <c r="AG69" s="302"/>
      <c r="AH69" s="302"/>
      <c r="AI69" s="165"/>
      <c r="AJ69" s="446"/>
      <c r="AK69" s="447"/>
      <c r="AL69" s="448"/>
    </row>
    <row r="70" spans="1:38" ht="32" x14ac:dyDescent="0.2">
      <c r="A70" s="302"/>
      <c r="B70" s="433" t="s">
        <v>981</v>
      </c>
      <c r="C70" s="444"/>
      <c r="D70" s="436"/>
      <c r="E70" s="436"/>
      <c r="F70" s="436"/>
      <c r="G70" s="348" t="s">
        <v>933</v>
      </c>
      <c r="H70" s="348" t="s">
        <v>934</v>
      </c>
      <c r="I70" s="348" t="s">
        <v>935</v>
      </c>
      <c r="J70" s="343"/>
      <c r="K70" s="343"/>
      <c r="L70" s="343"/>
      <c r="M70" s="343"/>
      <c r="N70" s="349" t="s">
        <v>936</v>
      </c>
      <c r="O70" s="480">
        <f>'IMC References'!C64</f>
        <v>3000</v>
      </c>
      <c r="P70" s="486"/>
      <c r="Q70" s="482">
        <f>'IMC References'!G72</f>
        <v>2.3999999999999998E-3</v>
      </c>
      <c r="R70" s="559">
        <f>'IMC References'!H72</f>
        <v>1.7999999999999997E-3</v>
      </c>
      <c r="S70" s="302"/>
      <c r="T70" s="413"/>
      <c r="U70" s="302"/>
      <c r="V70" s="433" t="s">
        <v>981</v>
      </c>
      <c r="W70" s="444"/>
      <c r="X70" s="436"/>
      <c r="Y70" s="436"/>
      <c r="Z70" s="436"/>
      <c r="AA70" s="348" t="s">
        <v>933</v>
      </c>
      <c r="AB70" s="348" t="s">
        <v>934</v>
      </c>
      <c r="AC70" s="348" t="s">
        <v>935</v>
      </c>
      <c r="AD70" s="343"/>
      <c r="AE70" s="343"/>
      <c r="AF70" s="343"/>
      <c r="AG70" s="343"/>
      <c r="AH70" s="349" t="s">
        <v>936</v>
      </c>
      <c r="AI70" s="480">
        <f>'IMC References'!C64</f>
        <v>3000</v>
      </c>
      <c r="AJ70" s="486"/>
      <c r="AK70" s="482">
        <f>'IMC References'!I72</f>
        <v>2.3999999999999998E-3</v>
      </c>
      <c r="AL70" s="559">
        <f>'IMC References'!J72</f>
        <v>1.7999999999999997E-3</v>
      </c>
    </row>
    <row r="71" spans="1:38" ht="32" x14ac:dyDescent="0.2">
      <c r="A71" s="302"/>
      <c r="B71" s="433" t="s">
        <v>937</v>
      </c>
      <c r="C71" s="444"/>
      <c r="D71" s="436"/>
      <c r="E71" s="436"/>
      <c r="F71" s="436"/>
      <c r="G71" s="348" t="s">
        <v>938</v>
      </c>
      <c r="H71" s="348" t="s">
        <v>939</v>
      </c>
      <c r="I71" s="343"/>
      <c r="J71" s="343"/>
      <c r="K71" s="348" t="s">
        <v>935</v>
      </c>
      <c r="L71" s="343"/>
      <c r="M71" s="343"/>
      <c r="N71" s="349" t="s">
        <v>936</v>
      </c>
      <c r="O71" s="480">
        <f>'IMC References'!D64</f>
        <v>2600</v>
      </c>
      <c r="P71" s="486"/>
      <c r="Q71" s="482">
        <f>'IMC References'!G73</f>
        <v>2.0800000000000003E-3</v>
      </c>
      <c r="R71" s="559">
        <f>'IMC References'!H73</f>
        <v>1.5599999999999998E-3</v>
      </c>
      <c r="S71" s="302"/>
      <c r="T71" s="413"/>
      <c r="U71" s="302"/>
      <c r="V71" s="433" t="s">
        <v>937</v>
      </c>
      <c r="W71" s="444"/>
      <c r="X71" s="436"/>
      <c r="Y71" s="436"/>
      <c r="Z71" s="436"/>
      <c r="AA71" s="348" t="s">
        <v>938</v>
      </c>
      <c r="AB71" s="348" t="s">
        <v>939</v>
      </c>
      <c r="AC71" s="343"/>
      <c r="AD71" s="343"/>
      <c r="AE71" s="348" t="s">
        <v>935</v>
      </c>
      <c r="AF71" s="343"/>
      <c r="AG71" s="343"/>
      <c r="AH71" s="349" t="s">
        <v>936</v>
      </c>
      <c r="AI71" s="480">
        <f>'IMC References'!D64</f>
        <v>2600</v>
      </c>
      <c r="AJ71" s="486"/>
      <c r="AK71" s="482">
        <f>'IMC References'!I73</f>
        <v>2.0800000000000003E-3</v>
      </c>
      <c r="AL71" s="559">
        <f>'IMC References'!J73</f>
        <v>1.5599999999999998E-3</v>
      </c>
    </row>
    <row r="72" spans="1:38" ht="32" x14ac:dyDescent="0.2">
      <c r="A72" s="302"/>
      <c r="B72" s="433" t="s">
        <v>982</v>
      </c>
      <c r="C72" s="444"/>
      <c r="D72" s="436"/>
      <c r="E72" s="436"/>
      <c r="F72" s="436"/>
      <c r="G72" s="348" t="s">
        <v>938</v>
      </c>
      <c r="H72" s="348" t="s">
        <v>939</v>
      </c>
      <c r="I72" s="343"/>
      <c r="J72" s="343"/>
      <c r="K72" s="348" t="s">
        <v>935</v>
      </c>
      <c r="L72" s="343"/>
      <c r="M72" s="343"/>
      <c r="N72" s="349" t="s">
        <v>936</v>
      </c>
      <c r="O72" s="480">
        <f>'IMC References'!E64</f>
        <v>2600</v>
      </c>
      <c r="P72" s="486"/>
      <c r="Q72" s="482">
        <f>'IMC References'!G74</f>
        <v>2.0800000000000003E-3</v>
      </c>
      <c r="R72" s="559">
        <f>'IMC References'!H74</f>
        <v>1.5599999999999998E-3</v>
      </c>
      <c r="S72" s="302"/>
      <c r="T72" s="413"/>
      <c r="U72" s="302"/>
      <c r="V72" s="433" t="s">
        <v>982</v>
      </c>
      <c r="W72" s="444"/>
      <c r="X72" s="436"/>
      <c r="Y72" s="436"/>
      <c r="Z72" s="436"/>
      <c r="AA72" s="348" t="s">
        <v>938</v>
      </c>
      <c r="AB72" s="348" t="s">
        <v>939</v>
      </c>
      <c r="AC72" s="343"/>
      <c r="AD72" s="343"/>
      <c r="AE72" s="348" t="s">
        <v>935</v>
      </c>
      <c r="AF72" s="343"/>
      <c r="AG72" s="343"/>
      <c r="AH72" s="349" t="s">
        <v>936</v>
      </c>
      <c r="AI72" s="480">
        <f>'IMC References'!E64</f>
        <v>2600</v>
      </c>
      <c r="AJ72" s="486"/>
      <c r="AK72" s="482">
        <f>'IMC References'!I74</f>
        <v>2.0800000000000003E-3</v>
      </c>
      <c r="AL72" s="559">
        <f>'IMC References'!J74</f>
        <v>1.5599999999999998E-3</v>
      </c>
    </row>
    <row r="73" spans="1:38" ht="32" x14ac:dyDescent="0.2">
      <c r="A73" s="302"/>
      <c r="B73" s="433" t="s">
        <v>941</v>
      </c>
      <c r="C73" s="444"/>
      <c r="D73" s="436"/>
      <c r="E73" s="436"/>
      <c r="F73" s="436"/>
      <c r="G73" s="348" t="s">
        <v>933</v>
      </c>
      <c r="H73" s="348" t="s">
        <v>934</v>
      </c>
      <c r="I73" s="348" t="s">
        <v>942</v>
      </c>
      <c r="J73" s="348" t="s">
        <v>943</v>
      </c>
      <c r="K73" s="343"/>
      <c r="L73" s="343"/>
      <c r="M73" s="343"/>
      <c r="N73" s="349" t="s">
        <v>936</v>
      </c>
      <c r="O73" s="480">
        <f>'IMC References'!F64</f>
        <v>2400</v>
      </c>
      <c r="P73" s="486"/>
      <c r="Q73" s="482">
        <f>'IMC References'!G75</f>
        <v>1.92E-3</v>
      </c>
      <c r="R73" s="559">
        <f>'IMC References'!H75</f>
        <v>1.4399999999999999E-3</v>
      </c>
      <c r="S73" s="302"/>
      <c r="T73" s="413"/>
      <c r="U73" s="302"/>
      <c r="V73" s="433" t="s">
        <v>941</v>
      </c>
      <c r="W73" s="444"/>
      <c r="X73" s="436"/>
      <c r="Y73" s="436"/>
      <c r="Z73" s="436"/>
      <c r="AA73" s="348" t="s">
        <v>933</v>
      </c>
      <c r="AB73" s="348" t="s">
        <v>934</v>
      </c>
      <c r="AC73" s="348" t="s">
        <v>942</v>
      </c>
      <c r="AD73" s="348" t="s">
        <v>943</v>
      </c>
      <c r="AE73" s="343"/>
      <c r="AF73" s="343"/>
      <c r="AG73" s="343"/>
      <c r="AH73" s="349" t="s">
        <v>936</v>
      </c>
      <c r="AI73" s="480">
        <f>'IMC References'!F64</f>
        <v>2400</v>
      </c>
      <c r="AJ73" s="486"/>
      <c r="AK73" s="482">
        <f>'IMC References'!I75</f>
        <v>1.92E-3</v>
      </c>
      <c r="AL73" s="559">
        <f>'IMC References'!J75</f>
        <v>1.4399999999999999E-3</v>
      </c>
    </row>
    <row r="74" spans="1:38" ht="32" x14ac:dyDescent="0.2">
      <c r="A74" s="302"/>
      <c r="B74" s="433" t="s">
        <v>983</v>
      </c>
      <c r="C74" s="444"/>
      <c r="D74" s="436"/>
      <c r="E74" s="436"/>
      <c r="F74" s="436"/>
      <c r="G74" s="348" t="s">
        <v>938</v>
      </c>
      <c r="H74" s="348" t="s">
        <v>939</v>
      </c>
      <c r="I74" s="343"/>
      <c r="J74" s="343"/>
      <c r="K74" s="348" t="s">
        <v>935</v>
      </c>
      <c r="L74" s="343"/>
      <c r="M74" s="343"/>
      <c r="N74" s="349" t="s">
        <v>936</v>
      </c>
      <c r="O74" s="480">
        <f>'IMC References'!G64</f>
        <v>2800</v>
      </c>
      <c r="P74" s="486"/>
      <c r="Q74" s="482">
        <f>'IMC References'!G76</f>
        <v>2.2400000000000002E-3</v>
      </c>
      <c r="R74" s="559">
        <f>'IMC References'!H76</f>
        <v>1.6799999999999999E-3</v>
      </c>
      <c r="S74" s="302"/>
      <c r="T74" s="413"/>
      <c r="U74" s="302"/>
      <c r="V74" s="433" t="s">
        <v>983</v>
      </c>
      <c r="W74" s="444"/>
      <c r="X74" s="436"/>
      <c r="Y74" s="436"/>
      <c r="Z74" s="436"/>
      <c r="AA74" s="348" t="s">
        <v>938</v>
      </c>
      <c r="AB74" s="348" t="s">
        <v>939</v>
      </c>
      <c r="AC74" s="343"/>
      <c r="AD74" s="343"/>
      <c r="AE74" s="348" t="s">
        <v>935</v>
      </c>
      <c r="AF74" s="343"/>
      <c r="AG74" s="343"/>
      <c r="AH74" s="349" t="s">
        <v>936</v>
      </c>
      <c r="AI74" s="480">
        <f>'IMC References'!G64</f>
        <v>2800</v>
      </c>
      <c r="AJ74" s="486"/>
      <c r="AK74" s="482">
        <f>'IMC References'!I76</f>
        <v>2.2400000000000002E-3</v>
      </c>
      <c r="AL74" s="559">
        <f>'IMC References'!J76</f>
        <v>1.6799999999999999E-3</v>
      </c>
    </row>
    <row r="75" spans="1:38" ht="32" x14ac:dyDescent="0.2">
      <c r="A75" s="302"/>
      <c r="B75" s="433" t="s">
        <v>984</v>
      </c>
      <c r="C75" s="444"/>
      <c r="D75" s="436"/>
      <c r="E75" s="436"/>
      <c r="F75" s="436"/>
      <c r="G75" s="348" t="s">
        <v>933</v>
      </c>
      <c r="H75" s="348" t="s">
        <v>939</v>
      </c>
      <c r="I75" s="343"/>
      <c r="J75" s="348" t="s">
        <v>942</v>
      </c>
      <c r="K75" s="352" t="s">
        <v>946</v>
      </c>
      <c r="L75" s="343"/>
      <c r="M75" s="343"/>
      <c r="N75" s="349" t="s">
        <v>936</v>
      </c>
      <c r="O75" s="480">
        <f>'IMC References'!H64</f>
        <v>4000</v>
      </c>
      <c r="P75" s="486"/>
      <c r="Q75" s="482">
        <f>'IMC References'!G77</f>
        <v>3.2000000000000002E-3</v>
      </c>
      <c r="R75" s="559">
        <f>'IMC References'!H77</f>
        <v>2.3999999999999998E-3</v>
      </c>
      <c r="S75" s="302"/>
      <c r="T75" s="413"/>
      <c r="U75" s="302"/>
      <c r="V75" s="433" t="s">
        <v>984</v>
      </c>
      <c r="W75" s="444"/>
      <c r="X75" s="436"/>
      <c r="Y75" s="436"/>
      <c r="Z75" s="436"/>
      <c r="AA75" s="348" t="s">
        <v>933</v>
      </c>
      <c r="AB75" s="348" t="s">
        <v>939</v>
      </c>
      <c r="AC75" s="343"/>
      <c r="AD75" s="348" t="s">
        <v>942</v>
      </c>
      <c r="AE75" s="352" t="s">
        <v>946</v>
      </c>
      <c r="AF75" s="343"/>
      <c r="AG75" s="343"/>
      <c r="AH75" s="349" t="s">
        <v>936</v>
      </c>
      <c r="AI75" s="480">
        <f>'IMC References'!H64</f>
        <v>4000</v>
      </c>
      <c r="AJ75" s="486"/>
      <c r="AK75" s="482">
        <f>'IMC References'!I77</f>
        <v>3.2000000000000002E-3</v>
      </c>
      <c r="AL75" s="559">
        <f>'IMC References'!J77</f>
        <v>2.3999999999999998E-3</v>
      </c>
    </row>
    <row r="76" spans="1:38" ht="32" x14ac:dyDescent="0.2">
      <c r="A76" s="302"/>
      <c r="B76" s="449" t="s">
        <v>948</v>
      </c>
      <c r="C76" s="444"/>
      <c r="D76" s="436"/>
      <c r="E76" s="436"/>
      <c r="F76" s="436"/>
      <c r="G76" s="348" t="s">
        <v>933</v>
      </c>
      <c r="H76" s="348" t="s">
        <v>934</v>
      </c>
      <c r="I76" s="343"/>
      <c r="J76" s="348" t="s">
        <v>942</v>
      </c>
      <c r="K76" s="348" t="s">
        <v>943</v>
      </c>
      <c r="L76" s="343"/>
      <c r="M76" s="343"/>
      <c r="N76" s="349" t="s">
        <v>936</v>
      </c>
      <c r="O76" s="480">
        <f>'IMC References'!I64</f>
        <v>4800</v>
      </c>
      <c r="P76" s="486"/>
      <c r="Q76" s="482">
        <f>'IMC References'!G78</f>
        <v>3.8400000000000001E-3</v>
      </c>
      <c r="R76" s="559">
        <f>'IMC References'!H78</f>
        <v>2.8799999999999997E-3</v>
      </c>
      <c r="S76" s="302"/>
      <c r="T76" s="413"/>
      <c r="U76" s="302"/>
      <c r="V76" s="449" t="s">
        <v>948</v>
      </c>
      <c r="W76" s="444"/>
      <c r="X76" s="436"/>
      <c r="Y76" s="436"/>
      <c r="Z76" s="436"/>
      <c r="AA76" s="348" t="s">
        <v>933</v>
      </c>
      <c r="AB76" s="348" t="s">
        <v>934</v>
      </c>
      <c r="AC76" s="343"/>
      <c r="AD76" s="348" t="s">
        <v>942</v>
      </c>
      <c r="AE76" s="348" t="s">
        <v>943</v>
      </c>
      <c r="AF76" s="343"/>
      <c r="AG76" s="343"/>
      <c r="AH76" s="349" t="s">
        <v>936</v>
      </c>
      <c r="AI76" s="480">
        <f>'IMC References'!K64</f>
        <v>8000</v>
      </c>
      <c r="AJ76" s="486"/>
      <c r="AK76" s="482">
        <f>'IMC References'!I78</f>
        <v>3.8400000000000001E-3</v>
      </c>
      <c r="AL76" s="559">
        <f>'IMC References'!J78</f>
        <v>2.8799999999999997E-3</v>
      </c>
    </row>
    <row r="77" spans="1:38" ht="32" x14ac:dyDescent="0.2">
      <c r="A77" s="302"/>
      <c r="B77" s="433" t="s">
        <v>947</v>
      </c>
      <c r="C77" s="444"/>
      <c r="D77" s="436"/>
      <c r="E77" s="436"/>
      <c r="F77" s="436"/>
      <c r="G77" s="348" t="s">
        <v>933</v>
      </c>
      <c r="H77" s="348" t="s">
        <v>934</v>
      </c>
      <c r="I77" s="343"/>
      <c r="J77" s="348" t="s">
        <v>935</v>
      </c>
      <c r="K77" s="343"/>
      <c r="L77" s="169"/>
      <c r="M77" s="343"/>
      <c r="N77" s="349" t="s">
        <v>936</v>
      </c>
      <c r="O77" s="480">
        <f>'IMC References'!J64</f>
        <v>3000</v>
      </c>
      <c r="P77" s="486"/>
      <c r="Q77" s="482">
        <f>'IMC References'!G79</f>
        <v>2.3999999999999998E-3</v>
      </c>
      <c r="R77" s="559">
        <f>'IMC References'!H79</f>
        <v>1.7999999999999997E-3</v>
      </c>
      <c r="S77" s="302"/>
      <c r="T77" s="413"/>
      <c r="U77" s="302"/>
      <c r="V77" s="433" t="s">
        <v>947</v>
      </c>
      <c r="W77" s="444"/>
      <c r="X77" s="436"/>
      <c r="Y77" s="436"/>
      <c r="Z77" s="436"/>
      <c r="AA77" s="348" t="s">
        <v>933</v>
      </c>
      <c r="AB77" s="348" t="s">
        <v>934</v>
      </c>
      <c r="AC77" s="343"/>
      <c r="AD77" s="348" t="s">
        <v>935</v>
      </c>
      <c r="AE77" s="343"/>
      <c r="AF77" s="169"/>
      <c r="AG77" s="343"/>
      <c r="AH77" s="349" t="s">
        <v>936</v>
      </c>
      <c r="AI77" s="480">
        <f>'IMC References'!I64</f>
        <v>4800</v>
      </c>
      <c r="AJ77" s="486"/>
      <c r="AK77" s="482">
        <f>'IMC References'!I79</f>
        <v>6.4000000000000003E-3</v>
      </c>
      <c r="AL77" s="559">
        <f>'IMC References'!J79</f>
        <v>4.7999999999999996E-3</v>
      </c>
    </row>
    <row r="78" spans="1:38" ht="32" x14ac:dyDescent="0.2">
      <c r="A78" s="302"/>
      <c r="B78" s="433" t="s">
        <v>985</v>
      </c>
      <c r="C78" s="444"/>
      <c r="D78" s="436"/>
      <c r="E78" s="436"/>
      <c r="F78" s="436"/>
      <c r="G78" s="348" t="s">
        <v>933</v>
      </c>
      <c r="H78" s="348" t="s">
        <v>934</v>
      </c>
      <c r="I78" s="343"/>
      <c r="J78" s="348" t="s">
        <v>935</v>
      </c>
      <c r="K78" s="343"/>
      <c r="L78" s="169"/>
      <c r="M78" s="343"/>
      <c r="N78" s="349" t="s">
        <v>936</v>
      </c>
      <c r="O78" s="480">
        <f>'IMC References'!L64</f>
        <v>2600</v>
      </c>
      <c r="P78" s="486"/>
      <c r="Q78" s="482">
        <f>'IMC References'!G80</f>
        <v>2.0800000000000003E-3</v>
      </c>
      <c r="R78" s="559">
        <f>'IMC References'!H80</f>
        <v>1.5599999999999998E-3</v>
      </c>
      <c r="S78" s="302"/>
      <c r="T78" s="413"/>
      <c r="U78" s="302"/>
      <c r="V78" s="433" t="s">
        <v>985</v>
      </c>
      <c r="W78" s="444"/>
      <c r="X78" s="436"/>
      <c r="Y78" s="436"/>
      <c r="Z78" s="436"/>
      <c r="AA78" s="348" t="s">
        <v>933</v>
      </c>
      <c r="AB78" s="348" t="s">
        <v>934</v>
      </c>
      <c r="AC78" s="343"/>
      <c r="AD78" s="348" t="s">
        <v>935</v>
      </c>
      <c r="AE78" s="343"/>
      <c r="AF78" s="169"/>
      <c r="AG78" s="343"/>
      <c r="AH78" s="349" t="s">
        <v>936</v>
      </c>
      <c r="AI78" s="480">
        <f>'IMC References'!M64</f>
        <v>10000</v>
      </c>
      <c r="AJ78" s="486"/>
      <c r="AK78" s="482">
        <f>'IMC References'!I80</f>
        <v>8.0000000000000002E-3</v>
      </c>
      <c r="AL78" s="559">
        <f>'IMC References'!J80</f>
        <v>5.9999999999999993E-3</v>
      </c>
    </row>
    <row r="79" spans="1:38" ht="32" x14ac:dyDescent="0.2">
      <c r="A79" s="302"/>
      <c r="B79" s="433" t="s">
        <v>986</v>
      </c>
      <c r="C79" s="444"/>
      <c r="D79" s="436"/>
      <c r="E79" s="436"/>
      <c r="F79" s="436"/>
      <c r="G79" s="348" t="s">
        <v>933</v>
      </c>
      <c r="H79" s="348" t="s">
        <v>934</v>
      </c>
      <c r="I79" s="343"/>
      <c r="J79" s="348" t="s">
        <v>935</v>
      </c>
      <c r="K79" s="343"/>
      <c r="L79" s="169"/>
      <c r="M79" s="343"/>
      <c r="N79" s="349" t="s">
        <v>936</v>
      </c>
      <c r="O79" s="480">
        <f>'IMC References'!N64</f>
        <v>2800</v>
      </c>
      <c r="P79" s="486"/>
      <c r="Q79" s="482">
        <f>'IMC References'!G81</f>
        <v>2.2400000000000002E-3</v>
      </c>
      <c r="R79" s="559">
        <f>'IMC References'!H81</f>
        <v>1.6799999999999999E-3</v>
      </c>
      <c r="S79" s="302"/>
      <c r="T79" s="413"/>
      <c r="U79" s="302"/>
      <c r="V79" s="433" t="s">
        <v>986</v>
      </c>
      <c r="W79" s="444"/>
      <c r="X79" s="436"/>
      <c r="Y79" s="436"/>
      <c r="Z79" s="436"/>
      <c r="AA79" s="348" t="s">
        <v>933</v>
      </c>
      <c r="AB79" s="348" t="s">
        <v>934</v>
      </c>
      <c r="AC79" s="343"/>
      <c r="AD79" s="348" t="s">
        <v>935</v>
      </c>
      <c r="AE79" s="343"/>
      <c r="AF79" s="169"/>
      <c r="AG79" s="343"/>
      <c r="AH79" s="349" t="s">
        <v>936</v>
      </c>
      <c r="AI79" s="480">
        <f>'IMC References'!N64</f>
        <v>2800</v>
      </c>
      <c r="AJ79" s="486"/>
      <c r="AK79" s="482">
        <f>'IMC References'!I81</f>
        <v>2.2400000000000002E-3</v>
      </c>
      <c r="AL79" s="559">
        <f>'IMC References'!J81</f>
        <v>1.6799999999999999E-3</v>
      </c>
    </row>
    <row r="80" spans="1:38" ht="16" x14ac:dyDescent="0.2">
      <c r="A80" s="302"/>
      <c r="B80" s="440" t="s">
        <v>951</v>
      </c>
      <c r="C80" s="444"/>
      <c r="D80" s="436"/>
      <c r="E80" s="436"/>
      <c r="F80" s="436"/>
      <c r="G80" s="436"/>
      <c r="H80" s="436"/>
      <c r="I80" s="436"/>
      <c r="J80" s="436"/>
      <c r="K80" s="436"/>
      <c r="L80" s="436"/>
      <c r="M80" s="436"/>
      <c r="N80" s="445"/>
      <c r="O80" s="164"/>
      <c r="P80" s="427"/>
      <c r="Q80" s="450">
        <v>0.01</v>
      </c>
      <c r="R80" s="451">
        <v>0.01</v>
      </c>
      <c r="S80" s="302"/>
      <c r="T80" s="413"/>
      <c r="U80" s="302"/>
      <c r="V80" s="440" t="s">
        <v>951</v>
      </c>
      <c r="W80" s="444"/>
      <c r="X80" s="436"/>
      <c r="Y80" s="436"/>
      <c r="Z80" s="436"/>
      <c r="AA80" s="436"/>
      <c r="AB80" s="436"/>
      <c r="AC80" s="436"/>
      <c r="AD80" s="436"/>
      <c r="AE80" s="436"/>
      <c r="AF80" s="436"/>
      <c r="AG80" s="436"/>
      <c r="AH80" s="445"/>
      <c r="AI80" s="164"/>
      <c r="AJ80" s="427"/>
      <c r="AK80" s="450">
        <v>0.01</v>
      </c>
      <c r="AL80" s="451">
        <v>0.01</v>
      </c>
    </row>
    <row r="81" spans="1:77" ht="64" x14ac:dyDescent="0.2">
      <c r="A81" s="302"/>
      <c r="B81" s="435" t="s">
        <v>952</v>
      </c>
      <c r="C81" s="444"/>
      <c r="D81" s="436"/>
      <c r="E81" s="436"/>
      <c r="F81" s="436"/>
      <c r="G81" s="452"/>
      <c r="H81" s="436"/>
      <c r="I81" s="436"/>
      <c r="J81" s="436"/>
      <c r="K81" s="436"/>
      <c r="L81" s="436"/>
      <c r="M81" s="436"/>
      <c r="N81" s="453"/>
      <c r="O81" s="163"/>
      <c r="P81" s="427"/>
      <c r="Q81" s="427"/>
      <c r="R81" s="454"/>
      <c r="S81" s="302"/>
      <c r="T81" s="413"/>
      <c r="U81" s="302"/>
      <c r="V81" s="435" t="s">
        <v>952</v>
      </c>
      <c r="W81" s="444"/>
      <c r="X81" s="436"/>
      <c r="Y81" s="436"/>
      <c r="Z81" s="436"/>
      <c r="AA81" s="452"/>
      <c r="AB81" s="436"/>
      <c r="AC81" s="436"/>
      <c r="AD81" s="436"/>
      <c r="AE81" s="436"/>
      <c r="AF81" s="436"/>
      <c r="AG81" s="436"/>
      <c r="AH81" s="453"/>
      <c r="AI81" s="163"/>
      <c r="AJ81" s="427"/>
      <c r="AK81" s="427"/>
      <c r="AL81" s="454"/>
    </row>
    <row r="82" spans="1:77" ht="80" x14ac:dyDescent="0.2">
      <c r="A82" s="302"/>
      <c r="B82" s="435" t="s">
        <v>987</v>
      </c>
      <c r="C82" s="444"/>
      <c r="D82" s="436"/>
      <c r="E82" s="436"/>
      <c r="F82" s="436"/>
      <c r="G82" s="452"/>
      <c r="H82" s="436"/>
      <c r="I82" s="436"/>
      <c r="J82" s="436"/>
      <c r="K82" s="436"/>
      <c r="L82" s="436"/>
      <c r="M82" s="436"/>
      <c r="N82" s="453"/>
      <c r="O82" s="432"/>
      <c r="P82" s="427"/>
      <c r="Q82" s="427"/>
      <c r="R82" s="454"/>
      <c r="S82" s="302"/>
      <c r="T82" s="413"/>
      <c r="U82" s="302"/>
      <c r="V82" s="435" t="s">
        <v>987</v>
      </c>
      <c r="W82" s="444"/>
      <c r="X82" s="436"/>
      <c r="Y82" s="436"/>
      <c r="Z82" s="436"/>
      <c r="AA82" s="452"/>
      <c r="AB82" s="436"/>
      <c r="AC82" s="436"/>
      <c r="AD82" s="436"/>
      <c r="AE82" s="436"/>
      <c r="AF82" s="436"/>
      <c r="AG82" s="436"/>
      <c r="AH82" s="453"/>
      <c r="AI82" s="432"/>
      <c r="AJ82" s="427"/>
      <c r="AK82" s="427"/>
      <c r="AL82" s="454"/>
    </row>
    <row r="83" spans="1:77" ht="16" x14ac:dyDescent="0.2">
      <c r="A83" s="302"/>
      <c r="B83" s="440" t="s">
        <v>954</v>
      </c>
      <c r="C83" s="444"/>
      <c r="D83" s="436"/>
      <c r="E83" s="436"/>
      <c r="F83" s="436"/>
      <c r="G83" s="455"/>
      <c r="H83" s="436"/>
      <c r="I83" s="436"/>
      <c r="J83" s="436"/>
      <c r="K83" s="436"/>
      <c r="L83" s="436"/>
      <c r="M83" s="436"/>
      <c r="N83" s="456"/>
      <c r="O83" s="164">
        <f>'IMC References'!F92</f>
        <v>13000</v>
      </c>
      <c r="P83" s="427"/>
      <c r="Q83" s="457">
        <f>'IMC References'!G105</f>
        <v>3.7650884906204381E-3</v>
      </c>
      <c r="R83" s="458">
        <f>'IMC References'!H105</f>
        <v>2.5939881598623978E-2</v>
      </c>
      <c r="S83" s="302"/>
      <c r="T83" s="413"/>
      <c r="U83" s="302"/>
      <c r="V83" s="440" t="s">
        <v>954</v>
      </c>
      <c r="W83" s="444"/>
      <c r="X83" s="436"/>
      <c r="Y83" s="436"/>
      <c r="Z83" s="436"/>
      <c r="AA83" s="455"/>
      <c r="AB83" s="436"/>
      <c r="AC83" s="436"/>
      <c r="AD83" s="436"/>
      <c r="AE83" s="436"/>
      <c r="AF83" s="436"/>
      <c r="AG83" s="436"/>
      <c r="AH83" s="456"/>
      <c r="AI83" s="164">
        <f>'IMC References'!F92</f>
        <v>13000</v>
      </c>
      <c r="AJ83" s="427"/>
      <c r="AK83" s="457">
        <f>'IMC References'!I105</f>
        <v>3.6682008928410961E-3</v>
      </c>
      <c r="AL83" s="458">
        <f>'IMC References'!J105</f>
        <v>2.5975681709989012E-2</v>
      </c>
    </row>
    <row r="84" spans="1:77" ht="16" x14ac:dyDescent="0.2">
      <c r="A84" s="302"/>
      <c r="B84" s="639" t="s">
        <v>955</v>
      </c>
      <c r="C84" s="640"/>
      <c r="D84" s="641"/>
      <c r="E84" s="436"/>
      <c r="F84" s="436"/>
      <c r="G84" s="436"/>
      <c r="H84" s="436"/>
      <c r="I84" s="436"/>
      <c r="J84" s="436"/>
      <c r="K84" s="436"/>
      <c r="L84" s="436"/>
      <c r="M84" s="436"/>
      <c r="N84" s="445"/>
      <c r="O84" s="164">
        <f>'IMC References'!C112</f>
        <v>1500</v>
      </c>
      <c r="P84" s="427"/>
      <c r="Q84" s="459">
        <v>0</v>
      </c>
      <c r="R84" s="460">
        <v>0</v>
      </c>
      <c r="S84" s="302"/>
      <c r="T84" s="413"/>
      <c r="U84" s="302"/>
      <c r="V84" s="440" t="s">
        <v>955</v>
      </c>
      <c r="W84" s="444"/>
      <c r="X84" s="421"/>
      <c r="Y84" s="436"/>
      <c r="Z84" s="436"/>
      <c r="AA84" s="436"/>
      <c r="AB84" s="436"/>
      <c r="AC84" s="436"/>
      <c r="AD84" s="436"/>
      <c r="AE84" s="436"/>
      <c r="AF84" s="436"/>
      <c r="AG84" s="436"/>
      <c r="AH84" s="445"/>
      <c r="AI84" s="164">
        <f>'IMC References'!C113</f>
        <v>11500</v>
      </c>
      <c r="AJ84" s="427"/>
      <c r="AK84" s="644">
        <v>0</v>
      </c>
      <c r="AL84" s="645">
        <v>0</v>
      </c>
    </row>
    <row r="85" spans="1:77" ht="16" x14ac:dyDescent="0.2">
      <c r="A85" s="637"/>
      <c r="B85" s="660" t="s">
        <v>956</v>
      </c>
      <c r="C85" s="633"/>
      <c r="D85" s="659"/>
      <c r="E85" s="659"/>
      <c r="F85" s="659"/>
      <c r="G85" s="659"/>
      <c r="H85" s="659"/>
      <c r="I85" s="659"/>
      <c r="J85" s="659"/>
      <c r="K85" s="659"/>
      <c r="L85" s="659"/>
      <c r="M85" s="659"/>
      <c r="N85" s="659"/>
      <c r="O85" s="659"/>
      <c r="P85" s="659"/>
      <c r="Q85" s="457">
        <f>'IMC References'!E126</f>
        <v>3.7438294127716504E-3</v>
      </c>
      <c r="R85" s="458">
        <f>'IMC References'!E127</f>
        <v>7.9999326756817028E-3</v>
      </c>
      <c r="S85" s="302"/>
      <c r="T85" s="413"/>
      <c r="U85" s="302"/>
      <c r="V85" s="440" t="s">
        <v>956</v>
      </c>
      <c r="W85" s="444"/>
      <c r="X85" s="436"/>
      <c r="Y85" s="436"/>
      <c r="Z85" s="436"/>
      <c r="AA85" s="436"/>
      <c r="AB85" s="436"/>
      <c r="AC85" s="436"/>
      <c r="AD85" s="436"/>
      <c r="AE85" s="436"/>
      <c r="AF85" s="436"/>
      <c r="AG85" s="436"/>
      <c r="AH85" s="436"/>
      <c r="AI85" s="164"/>
      <c r="AJ85" s="428"/>
      <c r="AK85" s="663">
        <f>'IMC References'!F126</f>
        <v>4.8517167338885418E-3</v>
      </c>
      <c r="AL85" s="666">
        <f>'IMC References'!F127</f>
        <v>1.0755464998700845E-2</v>
      </c>
    </row>
    <row r="86" spans="1:77" ht="16" x14ac:dyDescent="0.2">
      <c r="A86" s="302"/>
      <c r="B86" s="655" t="s">
        <v>958</v>
      </c>
      <c r="C86" s="656"/>
      <c r="D86" s="657"/>
      <c r="E86" s="657"/>
      <c r="F86" s="657"/>
      <c r="G86" s="657"/>
      <c r="H86" s="657"/>
      <c r="I86" s="657"/>
      <c r="J86" s="657"/>
      <c r="K86" s="657"/>
      <c r="L86" s="657"/>
      <c r="M86" s="657"/>
      <c r="N86" s="658"/>
      <c r="O86" s="263"/>
      <c r="P86" s="657"/>
      <c r="Q86" s="661">
        <f>'IMC References'!D132</f>
        <v>0.01</v>
      </c>
      <c r="R86" s="662">
        <f>'IMC References'!D132</f>
        <v>0.01</v>
      </c>
      <c r="S86" s="302"/>
      <c r="T86" s="413"/>
      <c r="U86" s="302"/>
      <c r="V86" s="655" t="s">
        <v>958</v>
      </c>
      <c r="W86" s="656"/>
      <c r="X86" s="657"/>
      <c r="Y86" s="657"/>
      <c r="Z86" s="657"/>
      <c r="AA86" s="657"/>
      <c r="AB86" s="657"/>
      <c r="AC86" s="657"/>
      <c r="AD86" s="657"/>
      <c r="AE86" s="657"/>
      <c r="AF86" s="657"/>
      <c r="AG86" s="657"/>
      <c r="AH86" s="658"/>
      <c r="AI86" s="263"/>
      <c r="AJ86" s="657"/>
      <c r="AK86" s="664">
        <f>'IMC References'!E132</f>
        <v>0.02</v>
      </c>
      <c r="AL86" s="665">
        <f>'IMC References'!E132</f>
        <v>0.02</v>
      </c>
    </row>
    <row r="87" spans="1:77" ht="16" x14ac:dyDescent="0.2">
      <c r="A87" s="302"/>
      <c r="B87" s="560" t="s">
        <v>957</v>
      </c>
      <c r="C87" s="420"/>
      <c r="D87" s="421"/>
      <c r="E87" s="421"/>
      <c r="F87" s="421"/>
      <c r="G87" s="421"/>
      <c r="H87" s="421"/>
      <c r="I87" s="421"/>
      <c r="J87" s="421"/>
      <c r="K87" s="421"/>
      <c r="L87" s="421"/>
      <c r="M87" s="421"/>
      <c r="N87" s="422"/>
      <c r="O87" s="561">
        <f>O84+O83+O80+O68+O67+O59+O55</f>
        <v>351909.94999999995</v>
      </c>
      <c r="P87" s="421"/>
      <c r="Q87" s="562">
        <f>Q85+Q84+Q68+Q67+Q59+Q55+Q80+Q83+Q86</f>
        <v>0.17802463390733206</v>
      </c>
      <c r="R87" s="563">
        <f>R85+R84+R68+R67+R59+R55+R80+R83+R86</f>
        <v>0.2033466309594022</v>
      </c>
      <c r="S87" s="302"/>
      <c r="T87" s="413"/>
      <c r="U87" s="302"/>
      <c r="V87" s="560" t="s">
        <v>957</v>
      </c>
      <c r="W87" s="420"/>
      <c r="X87" s="421"/>
      <c r="Y87" s="421"/>
      <c r="Z87" s="421"/>
      <c r="AA87" s="421"/>
      <c r="AB87" s="421"/>
      <c r="AC87" s="421"/>
      <c r="AD87" s="421"/>
      <c r="AE87" s="421"/>
      <c r="AF87" s="421"/>
      <c r="AG87" s="421"/>
      <c r="AH87" s="422"/>
      <c r="AI87" s="561">
        <f>AI84+AI83+AI80+AI68+AI67+AI59+AI55</f>
        <v>395409.94999999995</v>
      </c>
      <c r="AJ87" s="421"/>
      <c r="AK87" s="562">
        <f>AK85+AK84+AK68+AK67+AK59+AK55+AK80+AK83+AK86</f>
        <v>0.1979471063871972</v>
      </c>
      <c r="AL87" s="563">
        <f>AL85+AL84+AL68+AL67+AL59+AL55+AL80+AL83+AL86</f>
        <v>0.22364823052895494</v>
      </c>
    </row>
    <row r="88" spans="1:77" ht="16" x14ac:dyDescent="0.2">
      <c r="A88" s="302"/>
      <c r="B88" s="461"/>
      <c r="C88" s="462"/>
      <c r="D88" s="463"/>
      <c r="E88" s="463"/>
      <c r="F88" s="463"/>
      <c r="G88" s="463"/>
      <c r="H88" s="463"/>
      <c r="I88" s="463"/>
      <c r="J88" s="463"/>
      <c r="K88" s="463"/>
      <c r="L88" s="463"/>
      <c r="M88" s="463"/>
      <c r="N88" s="464"/>
      <c r="O88" s="465"/>
      <c r="P88" s="463"/>
      <c r="Q88" s="463"/>
      <c r="R88" s="466"/>
      <c r="S88" s="302"/>
      <c r="T88" s="413"/>
      <c r="U88" s="302"/>
      <c r="V88" s="461"/>
      <c r="W88" s="462"/>
      <c r="X88" s="463"/>
      <c r="Y88" s="463"/>
      <c r="Z88" s="463"/>
      <c r="AA88" s="463"/>
      <c r="AB88" s="463"/>
      <c r="AC88" s="463"/>
      <c r="AD88" s="463"/>
      <c r="AE88" s="463"/>
      <c r="AF88" s="463"/>
      <c r="AG88" s="463"/>
      <c r="AH88" s="464"/>
      <c r="AI88" s="465"/>
      <c r="AJ88" s="463"/>
      <c r="AK88" s="463"/>
      <c r="AL88" s="466"/>
    </row>
    <row r="89" spans="1:77" ht="16" x14ac:dyDescent="0.2">
      <c r="A89" s="302"/>
      <c r="B89" s="162" t="s">
        <v>959</v>
      </c>
      <c r="C89" s="426"/>
      <c r="D89" s="427"/>
      <c r="E89" s="427"/>
      <c r="F89" s="427"/>
      <c r="G89" s="427"/>
      <c r="H89" s="427"/>
      <c r="I89" s="427"/>
      <c r="J89" s="427"/>
      <c r="K89" s="427"/>
      <c r="L89" s="427"/>
      <c r="M89" s="427"/>
      <c r="N89" s="428"/>
      <c r="O89" s="432"/>
      <c r="P89" s="427"/>
      <c r="Q89" s="427"/>
      <c r="R89" s="454"/>
      <c r="S89" s="302"/>
      <c r="T89" s="413"/>
      <c r="U89" s="302"/>
      <c r="V89" s="162" t="s">
        <v>959</v>
      </c>
      <c r="W89" s="426"/>
      <c r="X89" s="427"/>
      <c r="Y89" s="427"/>
      <c r="Z89" s="427"/>
      <c r="AA89" s="427"/>
      <c r="AB89" s="427"/>
      <c r="AC89" s="427"/>
      <c r="AD89" s="427"/>
      <c r="AE89" s="427"/>
      <c r="AF89" s="427"/>
      <c r="AG89" s="427"/>
      <c r="AH89" s="428"/>
      <c r="AI89" s="432"/>
      <c r="AJ89" s="427"/>
      <c r="AK89" s="427"/>
      <c r="AL89" s="454"/>
    </row>
    <row r="90" spans="1:77" ht="16" x14ac:dyDescent="0.2">
      <c r="A90" s="302"/>
      <c r="B90" s="467" t="s">
        <v>960</v>
      </c>
      <c r="C90" s="426"/>
      <c r="D90" s="427"/>
      <c r="E90" s="427"/>
      <c r="F90" s="427"/>
      <c r="G90" s="427"/>
      <c r="H90" s="427"/>
      <c r="I90" s="427"/>
      <c r="J90" s="427"/>
      <c r="K90" s="427"/>
      <c r="L90" s="427"/>
      <c r="M90" s="427"/>
      <c r="N90" s="428"/>
      <c r="O90" s="161">
        <f>5000+O91+O93+O92</f>
        <v>26040</v>
      </c>
      <c r="P90" s="427"/>
      <c r="Q90" s="427"/>
      <c r="R90" s="454"/>
      <c r="S90" s="302"/>
      <c r="T90" s="413"/>
      <c r="U90" s="302"/>
      <c r="V90" s="467" t="s">
        <v>960</v>
      </c>
      <c r="W90" s="426"/>
      <c r="X90" s="427"/>
      <c r="Y90" s="427"/>
      <c r="Z90" s="427"/>
      <c r="AA90" s="427"/>
      <c r="AB90" s="427"/>
      <c r="AC90" s="427"/>
      <c r="AD90" s="427"/>
      <c r="AE90" s="427"/>
      <c r="AF90" s="427"/>
      <c r="AG90" s="427"/>
      <c r="AH90" s="428"/>
      <c r="AI90" s="161">
        <f>5000+AI91+AI93+AI92</f>
        <v>26040</v>
      </c>
      <c r="AJ90" s="427"/>
      <c r="AK90" s="427"/>
      <c r="AL90" s="454"/>
    </row>
    <row r="91" spans="1:77" ht="16" x14ac:dyDescent="0.2">
      <c r="A91" s="302"/>
      <c r="B91" s="433" t="s">
        <v>961</v>
      </c>
      <c r="C91" s="468"/>
      <c r="D91" s="436"/>
      <c r="E91" s="436"/>
      <c r="F91" s="427"/>
      <c r="G91" s="427"/>
      <c r="H91" s="427"/>
      <c r="I91" s="427"/>
      <c r="J91" s="427"/>
      <c r="K91" s="427"/>
      <c r="L91" s="427"/>
      <c r="M91" s="427"/>
      <c r="N91" s="428"/>
      <c r="O91" s="438">
        <f>(64*70)*2</f>
        <v>8960</v>
      </c>
      <c r="P91" s="427"/>
      <c r="Q91" s="427"/>
      <c r="R91" s="454"/>
      <c r="S91" s="302"/>
      <c r="T91" s="413"/>
      <c r="U91" s="302"/>
      <c r="V91" s="433" t="s">
        <v>961</v>
      </c>
      <c r="W91" s="468"/>
      <c r="X91" s="436"/>
      <c r="Y91" s="436"/>
      <c r="Z91" s="427"/>
      <c r="AA91" s="427"/>
      <c r="AB91" s="427"/>
      <c r="AC91" s="427"/>
      <c r="AD91" s="427"/>
      <c r="AE91" s="427"/>
      <c r="AF91" s="427"/>
      <c r="AG91" s="427"/>
      <c r="AH91" s="428"/>
      <c r="AI91" s="438">
        <f>(64*70)*2</f>
        <v>8960</v>
      </c>
      <c r="AJ91" s="427"/>
      <c r="AK91" s="427"/>
      <c r="AL91" s="454"/>
    </row>
    <row r="92" spans="1:77" ht="16" x14ac:dyDescent="0.2">
      <c r="A92" s="302"/>
      <c r="B92" s="433" t="s">
        <v>988</v>
      </c>
      <c r="C92" s="699"/>
      <c r="D92" s="436"/>
      <c r="E92" s="436"/>
      <c r="F92" s="427"/>
      <c r="G92" s="427"/>
      <c r="H92" s="427"/>
      <c r="I92" s="427"/>
      <c r="J92" s="427"/>
      <c r="K92" s="427"/>
      <c r="L92" s="427"/>
      <c r="M92" s="427"/>
      <c r="N92" s="428"/>
      <c r="O92" s="438">
        <v>5190</v>
      </c>
      <c r="P92" s="427"/>
      <c r="Q92" s="427"/>
      <c r="R92" s="454"/>
      <c r="S92" s="302"/>
      <c r="T92" s="413"/>
      <c r="U92" s="302"/>
      <c r="V92" s="433" t="s">
        <v>989</v>
      </c>
      <c r="W92" s="699"/>
      <c r="X92" s="436"/>
      <c r="Y92" s="436"/>
      <c r="Z92" s="427"/>
      <c r="AA92" s="427"/>
      <c r="AB92" s="427"/>
      <c r="AC92" s="427"/>
      <c r="AD92" s="427"/>
      <c r="AE92" s="427"/>
      <c r="AF92" s="427"/>
      <c r="AG92" s="427"/>
      <c r="AH92" s="428"/>
      <c r="AI92" s="438">
        <v>5190</v>
      </c>
      <c r="AJ92" s="427"/>
      <c r="AK92" s="427"/>
      <c r="AL92" s="454"/>
    </row>
    <row r="93" spans="1:77" ht="16" x14ac:dyDescent="0.2">
      <c r="A93" s="302"/>
      <c r="B93" s="433" t="s">
        <v>962</v>
      </c>
      <c r="C93" s="444"/>
      <c r="D93" s="436"/>
      <c r="E93" s="469"/>
      <c r="F93" s="427"/>
      <c r="G93" s="427"/>
      <c r="H93" s="427"/>
      <c r="I93" s="427"/>
      <c r="J93" s="427"/>
      <c r="K93" s="427"/>
      <c r="L93" s="427"/>
      <c r="M93" s="427"/>
      <c r="N93" s="428"/>
      <c r="O93" s="438">
        <f>3445*2</f>
        <v>6890</v>
      </c>
      <c r="P93" s="427"/>
      <c r="Q93" s="427"/>
      <c r="R93" s="454"/>
      <c r="S93" s="302"/>
      <c r="T93" s="413"/>
      <c r="U93" s="302"/>
      <c r="V93" s="433" t="s">
        <v>962</v>
      </c>
      <c r="W93" s="444"/>
      <c r="X93" s="436"/>
      <c r="Y93" s="469"/>
      <c r="Z93" s="427"/>
      <c r="AA93" s="427"/>
      <c r="AB93" s="427"/>
      <c r="AC93" s="427"/>
      <c r="AD93" s="427"/>
      <c r="AE93" s="427"/>
      <c r="AF93" s="427"/>
      <c r="AG93" s="427"/>
      <c r="AH93" s="428"/>
      <c r="AI93" s="438">
        <f>3445*2</f>
        <v>6890</v>
      </c>
      <c r="AJ93" s="427"/>
      <c r="AK93" s="427"/>
      <c r="AL93" s="454"/>
    </row>
    <row r="94" spans="1:77" ht="16" x14ac:dyDescent="0.2">
      <c r="A94" s="302"/>
      <c r="B94" s="440" t="s">
        <v>963</v>
      </c>
      <c r="C94" s="444"/>
      <c r="D94" s="436"/>
      <c r="E94" s="436"/>
      <c r="F94" s="427"/>
      <c r="G94" s="427"/>
      <c r="H94" s="427"/>
      <c r="I94" s="427"/>
      <c r="J94" s="427"/>
      <c r="K94" s="427"/>
      <c r="L94" s="427"/>
      <c r="M94" s="427"/>
      <c r="N94" s="428"/>
      <c r="O94" s="161">
        <f>O95</f>
        <v>5280</v>
      </c>
      <c r="P94" s="427"/>
      <c r="Q94" s="427"/>
      <c r="R94" s="454"/>
      <c r="S94" s="302"/>
      <c r="T94" s="413"/>
      <c r="U94" s="302"/>
      <c r="V94" s="440" t="s">
        <v>963</v>
      </c>
      <c r="W94" s="444"/>
      <c r="X94" s="436"/>
      <c r="Y94" s="436"/>
      <c r="Z94" s="427"/>
      <c r="AA94" s="427"/>
      <c r="AB94" s="427"/>
      <c r="AC94" s="427"/>
      <c r="AD94" s="427"/>
      <c r="AE94" s="427"/>
      <c r="AF94" s="427"/>
      <c r="AG94" s="427"/>
      <c r="AH94" s="428"/>
      <c r="AI94" s="161">
        <f>AI95</f>
        <v>5280</v>
      </c>
      <c r="AJ94" s="427"/>
      <c r="AK94" s="427"/>
      <c r="AL94" s="454"/>
    </row>
    <row r="95" spans="1:77" ht="16" x14ac:dyDescent="0.2">
      <c r="A95" s="302"/>
      <c r="B95" s="566" t="s">
        <v>964</v>
      </c>
      <c r="C95" s="567"/>
      <c r="D95" s="568"/>
      <c r="E95" s="569"/>
      <c r="F95" s="564"/>
      <c r="G95" s="564"/>
      <c r="H95" s="564"/>
      <c r="I95" s="564"/>
      <c r="J95" s="564"/>
      <c r="K95" s="564"/>
      <c r="L95" s="564"/>
      <c r="M95" s="564"/>
      <c r="N95" s="565"/>
      <c r="O95" s="570">
        <v>5280</v>
      </c>
      <c r="P95" s="564"/>
      <c r="Q95" s="564"/>
      <c r="R95" s="571"/>
      <c r="S95" s="302"/>
      <c r="T95" s="413"/>
      <c r="U95" s="302"/>
      <c r="V95" s="566" t="s">
        <v>964</v>
      </c>
      <c r="W95" s="567"/>
      <c r="X95" s="568"/>
      <c r="Y95" s="569"/>
      <c r="Z95" s="564"/>
      <c r="AA95" s="564"/>
      <c r="AB95" s="564"/>
      <c r="AC95" s="564"/>
      <c r="AD95" s="564"/>
      <c r="AE95" s="564"/>
      <c r="AF95" s="564"/>
      <c r="AG95" s="564"/>
      <c r="AH95" s="565"/>
      <c r="AI95" s="570">
        <v>5280</v>
      </c>
      <c r="AJ95" s="564"/>
      <c r="AK95" s="564"/>
      <c r="AL95" s="571"/>
    </row>
    <row r="96" spans="1:77" s="471" customFormat="1" ht="16" x14ac:dyDescent="0.2">
      <c r="A96" s="302"/>
      <c r="B96" s="578" t="s">
        <v>965</v>
      </c>
      <c r="C96" s="579"/>
      <c r="D96" s="580"/>
      <c r="E96" s="580"/>
      <c r="F96" s="580"/>
      <c r="G96" s="580"/>
      <c r="H96" s="580"/>
      <c r="I96" s="580"/>
      <c r="J96" s="580"/>
      <c r="K96" s="580"/>
      <c r="L96" s="580"/>
      <c r="M96" s="580"/>
      <c r="N96" s="581"/>
      <c r="O96" s="582">
        <f>O94+O90</f>
        <v>31320</v>
      </c>
      <c r="P96" s="580"/>
      <c r="Q96" s="580"/>
      <c r="R96" s="583"/>
      <c r="S96" s="302"/>
      <c r="T96" s="413"/>
      <c r="U96" s="302"/>
      <c r="V96" s="584" t="s">
        <v>965</v>
      </c>
      <c r="W96" s="585"/>
      <c r="X96" s="586"/>
      <c r="Y96" s="586"/>
      <c r="Z96" s="586"/>
      <c r="AA96" s="586"/>
      <c r="AB96" s="586"/>
      <c r="AC96" s="586"/>
      <c r="AD96" s="586"/>
      <c r="AE96" s="586"/>
      <c r="AF96" s="586"/>
      <c r="AG96" s="586"/>
      <c r="AH96" s="587"/>
      <c r="AI96" s="588">
        <f>AI94+AI90</f>
        <v>31320</v>
      </c>
      <c r="AJ96" s="586"/>
      <c r="AK96" s="586"/>
      <c r="AL96" s="589"/>
      <c r="AM96" s="600"/>
      <c r="AN96" s="600"/>
      <c r="AO96" s="600"/>
      <c r="AP96" s="600"/>
      <c r="AQ96" s="600"/>
      <c r="AR96" s="600"/>
      <c r="AS96" s="600"/>
      <c r="AT96" s="600"/>
      <c r="AU96" s="600"/>
      <c r="AV96" s="600"/>
      <c r="AW96" s="600"/>
      <c r="AX96" s="600"/>
      <c r="AY96" s="600"/>
      <c r="AZ96" s="600"/>
      <c r="BA96" s="600"/>
      <c r="BB96" s="600"/>
      <c r="BC96" s="600"/>
      <c r="BD96" s="600"/>
      <c r="BE96" s="600"/>
      <c r="BF96" s="600"/>
      <c r="BG96" s="600"/>
      <c r="BH96" s="600"/>
      <c r="BI96" s="600"/>
      <c r="BJ96" s="600"/>
      <c r="BK96" s="600"/>
      <c r="BL96" s="600"/>
      <c r="BM96" s="600"/>
      <c r="BN96" s="600"/>
      <c r="BO96" s="600"/>
      <c r="BP96" s="600"/>
      <c r="BQ96" s="600"/>
      <c r="BR96" s="600"/>
      <c r="BS96" s="600"/>
      <c r="BT96" s="600"/>
      <c r="BU96" s="600"/>
      <c r="BV96" s="600"/>
      <c r="BW96" s="600"/>
      <c r="BX96" s="600"/>
      <c r="BY96" s="600"/>
    </row>
    <row r="97" spans="1:38" ht="16" x14ac:dyDescent="0.2">
      <c r="A97" s="302"/>
      <c r="B97" s="572" t="s">
        <v>966</v>
      </c>
      <c r="C97" s="573"/>
      <c r="D97" s="574"/>
      <c r="E97" s="574"/>
      <c r="F97" s="574"/>
      <c r="G97" s="574"/>
      <c r="H97" s="574"/>
      <c r="I97" s="574"/>
      <c r="J97" s="574"/>
      <c r="K97" s="574"/>
      <c r="L97" s="574"/>
      <c r="M97" s="574"/>
      <c r="N97" s="575"/>
      <c r="O97" s="576">
        <f>O96+O87</f>
        <v>383229.94999999995</v>
      </c>
      <c r="P97" s="574"/>
      <c r="Q97" s="574"/>
      <c r="R97" s="577"/>
      <c r="S97" s="302"/>
      <c r="T97" s="413"/>
      <c r="U97" s="707"/>
      <c r="V97" s="572" t="s">
        <v>966</v>
      </c>
      <c r="W97" s="573"/>
      <c r="X97" s="574"/>
      <c r="Y97" s="574"/>
      <c r="Z97" s="574"/>
      <c r="AA97" s="574"/>
      <c r="AB97" s="574"/>
      <c r="AC97" s="574"/>
      <c r="AD97" s="574"/>
      <c r="AE97" s="574"/>
      <c r="AF97" s="574"/>
      <c r="AG97" s="574"/>
      <c r="AH97" s="575"/>
      <c r="AI97" s="576">
        <f>AI96+AI87</f>
        <v>426729.94999999995</v>
      </c>
      <c r="AJ97" s="574"/>
      <c r="AK97" s="574"/>
      <c r="AL97" s="577"/>
    </row>
    <row r="98" spans="1:38" ht="16" x14ac:dyDescent="0.2">
      <c r="A98" s="302"/>
      <c r="B98" s="302"/>
      <c r="C98" s="302"/>
      <c r="D98" s="302"/>
      <c r="E98" s="302"/>
      <c r="F98" s="302"/>
      <c r="G98" s="302"/>
      <c r="H98" s="302"/>
      <c r="I98" s="302"/>
      <c r="J98" s="302"/>
      <c r="K98" s="302"/>
      <c r="L98" s="302"/>
      <c r="M98" s="302"/>
      <c r="N98" s="302"/>
      <c r="O98" s="302"/>
      <c r="P98" s="302"/>
      <c r="Q98" s="302"/>
      <c r="R98" s="302"/>
      <c r="S98" s="302"/>
      <c r="T98" s="413"/>
      <c r="U98" s="302"/>
      <c r="V98" s="302"/>
      <c r="W98" s="302"/>
      <c r="X98" s="302"/>
      <c r="Y98" s="302"/>
      <c r="Z98" s="302"/>
      <c r="AA98" s="302"/>
    </row>
    <row r="99" spans="1:38" ht="10.25" customHeight="1" x14ac:dyDescent="0.2">
      <c r="A99" s="413"/>
      <c r="B99" s="413"/>
      <c r="C99" s="413"/>
      <c r="D99" s="413"/>
      <c r="E99" s="413"/>
      <c r="F99" s="413"/>
      <c r="G99" s="413"/>
      <c r="H99" s="413"/>
      <c r="I99" s="413"/>
      <c r="J99" s="413"/>
      <c r="K99" s="413"/>
      <c r="L99" s="413"/>
      <c r="M99" s="413"/>
      <c r="N99" s="413"/>
      <c r="O99" s="413"/>
      <c r="P99" s="413"/>
      <c r="Q99" s="413"/>
      <c r="R99" s="413"/>
      <c r="S99" s="413"/>
      <c r="T99" s="413"/>
      <c r="U99" s="413"/>
      <c r="V99" s="413"/>
      <c r="W99" s="413"/>
      <c r="X99" s="413"/>
      <c r="Y99" s="413"/>
      <c r="Z99" s="413"/>
      <c r="AA99" s="413"/>
      <c r="AB99" s="471"/>
      <c r="AC99" s="471"/>
      <c r="AD99" s="471"/>
      <c r="AE99" s="471"/>
      <c r="AF99" s="471"/>
      <c r="AG99" s="471"/>
      <c r="AH99" s="471"/>
      <c r="AI99" s="471"/>
      <c r="AJ99" s="471"/>
      <c r="AK99" s="471"/>
      <c r="AL99" s="471"/>
    </row>
    <row r="100" spans="1:38" ht="16" x14ac:dyDescent="0.2">
      <c r="A100" s="302"/>
      <c r="B100" s="302"/>
      <c r="C100" s="302"/>
      <c r="D100" s="302"/>
      <c r="E100" s="302"/>
      <c r="F100" s="302"/>
      <c r="G100" s="302"/>
      <c r="H100" s="302"/>
      <c r="I100" s="302"/>
      <c r="J100" s="302"/>
      <c r="K100" s="302"/>
      <c r="L100" s="302"/>
      <c r="M100" s="302"/>
      <c r="N100" s="302"/>
      <c r="O100" s="302"/>
      <c r="P100" s="302"/>
      <c r="Q100" s="302"/>
      <c r="R100" s="302"/>
      <c r="S100" s="302"/>
      <c r="T100" s="413"/>
      <c r="U100" s="302"/>
      <c r="V100" s="302"/>
      <c r="W100" s="302"/>
      <c r="X100" s="302"/>
      <c r="Y100" s="302"/>
      <c r="Z100" s="302"/>
      <c r="AA100" s="302"/>
    </row>
    <row r="101" spans="1:38" ht="16" x14ac:dyDescent="0.2">
      <c r="A101" s="302"/>
      <c r="B101" s="474" t="s">
        <v>990</v>
      </c>
      <c r="C101" s="304"/>
      <c r="D101" s="302"/>
      <c r="E101" s="302"/>
      <c r="F101" s="302"/>
      <c r="G101" s="302"/>
      <c r="H101" s="302"/>
      <c r="I101" s="302"/>
      <c r="J101" s="302"/>
      <c r="K101" s="302"/>
      <c r="L101" s="302"/>
      <c r="M101" s="302"/>
      <c r="N101" s="302"/>
      <c r="O101" s="302"/>
      <c r="P101" s="302"/>
      <c r="Q101" s="302"/>
      <c r="R101" s="302"/>
      <c r="S101" s="302"/>
      <c r="T101" s="413"/>
      <c r="U101" s="302"/>
      <c r="V101" s="302"/>
      <c r="W101" s="302"/>
      <c r="X101" s="302"/>
      <c r="Y101" s="302"/>
      <c r="Z101" s="302"/>
      <c r="AA101" s="302"/>
    </row>
    <row r="102" spans="1:38" ht="16" x14ac:dyDescent="0.2">
      <c r="A102" s="302"/>
      <c r="B102" s="475" t="s">
        <v>991</v>
      </c>
      <c r="C102" s="302"/>
      <c r="D102" s="302"/>
      <c r="E102" s="302"/>
      <c r="F102" s="302"/>
      <c r="G102" s="302"/>
      <c r="H102" s="302"/>
      <c r="I102" s="302"/>
      <c r="J102" s="302"/>
      <c r="K102" s="302"/>
      <c r="L102" s="302"/>
      <c r="M102" s="302"/>
      <c r="N102" s="302"/>
      <c r="O102" s="302"/>
      <c r="P102" s="302"/>
      <c r="Q102" s="302"/>
      <c r="R102" s="302"/>
      <c r="S102" s="302"/>
      <c r="T102" s="413"/>
      <c r="U102" s="302"/>
      <c r="V102" s="302"/>
      <c r="W102" s="302"/>
      <c r="X102" s="302"/>
      <c r="Y102" s="302"/>
      <c r="Z102" s="302"/>
      <c r="AA102" s="302"/>
    </row>
    <row r="103" spans="1:38" ht="16" x14ac:dyDescent="0.2">
      <c r="A103" s="302"/>
      <c r="B103" s="302"/>
      <c r="C103" s="302"/>
      <c r="D103" s="302"/>
      <c r="E103" s="302"/>
      <c r="F103" s="302"/>
      <c r="G103" s="302"/>
      <c r="H103" s="302"/>
      <c r="I103" s="302"/>
      <c r="J103" s="302"/>
      <c r="K103" s="302"/>
      <c r="L103" s="302"/>
      <c r="M103" s="302"/>
      <c r="N103" s="302"/>
      <c r="O103" s="302"/>
      <c r="P103" s="302"/>
      <c r="Q103" s="302"/>
      <c r="R103" s="302"/>
      <c r="S103" s="302"/>
      <c r="T103" s="413"/>
      <c r="U103" s="302"/>
      <c r="V103" s="302"/>
      <c r="W103" s="302"/>
      <c r="X103" s="302"/>
      <c r="Y103" s="302"/>
      <c r="Z103" s="302"/>
      <c r="AA103" s="302"/>
    </row>
    <row r="104" spans="1:38" ht="32" x14ac:dyDescent="0.2">
      <c r="A104" s="302"/>
      <c r="B104" s="521" t="s">
        <v>992</v>
      </c>
      <c r="C104" s="414" t="s">
        <v>176</v>
      </c>
      <c r="D104" s="415" t="s">
        <v>916</v>
      </c>
      <c r="E104" s="415" t="s">
        <v>178</v>
      </c>
      <c r="F104" s="415" t="s">
        <v>179</v>
      </c>
      <c r="G104" s="415" t="s">
        <v>180</v>
      </c>
      <c r="H104" s="415" t="s">
        <v>181</v>
      </c>
      <c r="I104" s="415" t="s">
        <v>182</v>
      </c>
      <c r="J104" s="415" t="s">
        <v>183</v>
      </c>
      <c r="K104" s="415" t="s">
        <v>184</v>
      </c>
      <c r="L104" s="415" t="s">
        <v>185</v>
      </c>
      <c r="M104" s="415" t="s">
        <v>186</v>
      </c>
      <c r="N104" s="416" t="s">
        <v>187</v>
      </c>
      <c r="O104" s="417" t="s">
        <v>579</v>
      </c>
      <c r="P104" s="418" t="s">
        <v>917</v>
      </c>
      <c r="Q104" s="418" t="s">
        <v>918</v>
      </c>
      <c r="R104" s="419" t="s">
        <v>919</v>
      </c>
      <c r="S104" s="302"/>
      <c r="T104" s="413"/>
      <c r="U104" s="302"/>
      <c r="V104" s="302"/>
      <c r="W104" s="302"/>
      <c r="X104" s="302"/>
      <c r="Y104" s="302"/>
      <c r="Z104" s="302"/>
      <c r="AA104" s="302"/>
    </row>
    <row r="105" spans="1:38" ht="16" x14ac:dyDescent="0.2">
      <c r="A105" s="302"/>
      <c r="B105" s="167" t="s">
        <v>921</v>
      </c>
      <c r="C105" s="420"/>
      <c r="D105" s="421"/>
      <c r="E105" s="421"/>
      <c r="F105" s="421"/>
      <c r="G105" s="421"/>
      <c r="H105" s="421"/>
      <c r="I105" s="421"/>
      <c r="J105" s="421"/>
      <c r="K105" s="421"/>
      <c r="L105" s="421"/>
      <c r="M105" s="421"/>
      <c r="N105" s="422"/>
      <c r="O105" s="423"/>
      <c r="P105" s="421"/>
      <c r="Q105" s="421"/>
      <c r="R105" s="424"/>
      <c r="S105" s="302"/>
      <c r="T105" s="413"/>
      <c r="U105" s="302"/>
      <c r="V105" s="302"/>
      <c r="W105" s="302"/>
      <c r="X105" s="302"/>
      <c r="Y105" s="302"/>
      <c r="Z105" s="302"/>
      <c r="AA105" s="302"/>
    </row>
    <row r="106" spans="1:38" ht="16" x14ac:dyDescent="0.2">
      <c r="A106" s="302"/>
      <c r="B106" s="425" t="s">
        <v>973</v>
      </c>
      <c r="C106" s="426"/>
      <c r="D106" s="427"/>
      <c r="E106" s="427"/>
      <c r="F106" s="427"/>
      <c r="G106" s="427"/>
      <c r="H106" s="427"/>
      <c r="I106" s="427"/>
      <c r="J106" s="427"/>
      <c r="K106" s="427"/>
      <c r="L106" s="427"/>
      <c r="M106" s="427"/>
      <c r="N106" s="428"/>
      <c r="O106" s="166">
        <f>'IMC References'!D45</f>
        <v>172273</v>
      </c>
      <c r="P106" s="619">
        <f>'IMC References'!N45</f>
        <v>505.49708689225014</v>
      </c>
      <c r="Q106" s="616">
        <f>'IMC References'!K53</f>
        <v>3.7267839233526959E-2</v>
      </c>
      <c r="R106" s="618">
        <f>'IMC References'!L53</f>
        <v>5.1269299552728374E-2</v>
      </c>
      <c r="S106" s="302"/>
      <c r="T106" s="413"/>
      <c r="U106" s="302"/>
      <c r="V106" s="302"/>
      <c r="W106" s="302"/>
      <c r="X106" s="302"/>
      <c r="Y106" s="302"/>
      <c r="Z106" s="302"/>
      <c r="AA106" s="302"/>
    </row>
    <row r="107" spans="1:38" ht="16" x14ac:dyDescent="0.2">
      <c r="A107" s="302"/>
      <c r="B107" s="429" t="s">
        <v>974</v>
      </c>
      <c r="C107" s="426"/>
      <c r="D107" s="427"/>
      <c r="E107" s="427"/>
      <c r="F107" s="427"/>
      <c r="G107" s="430"/>
      <c r="H107" s="427"/>
      <c r="I107" s="427"/>
      <c r="J107" s="427"/>
      <c r="K107" s="427"/>
      <c r="L107" s="427"/>
      <c r="M107" s="427"/>
      <c r="N107" s="431"/>
      <c r="O107" s="480">
        <f>'IMC References'!D91</f>
        <v>0</v>
      </c>
      <c r="P107" s="481">
        <f>'IMC References'!N42</f>
        <v>174.85015984415745</v>
      </c>
      <c r="Q107" s="482">
        <f>'IMC References'!K50</f>
        <v>1.5230171317923768E-2</v>
      </c>
      <c r="R107" s="614">
        <f>'IMC References'!L50</f>
        <v>3.3335025398436212E-2</v>
      </c>
      <c r="S107" s="302"/>
      <c r="T107" s="413"/>
      <c r="U107" s="302"/>
      <c r="V107" s="302"/>
      <c r="W107" s="302"/>
      <c r="X107" s="302"/>
      <c r="Y107" s="302"/>
      <c r="Z107" s="302"/>
      <c r="AA107" s="302"/>
    </row>
    <row r="108" spans="1:38" ht="16" x14ac:dyDescent="0.2">
      <c r="A108" s="302"/>
      <c r="B108" s="433" t="s">
        <v>975</v>
      </c>
      <c r="C108" s="426"/>
      <c r="D108" s="427"/>
      <c r="E108" s="427"/>
      <c r="F108" s="427"/>
      <c r="G108" s="430"/>
      <c r="H108" s="427"/>
      <c r="I108" s="427"/>
      <c r="J108" s="427"/>
      <c r="K108" s="427"/>
      <c r="L108" s="427"/>
      <c r="M108" s="427"/>
      <c r="N108" s="431"/>
      <c r="O108" s="480">
        <f>'IMC References'!D92</f>
        <v>0</v>
      </c>
      <c r="P108" s="481">
        <f>'IMC References'!N43</f>
        <v>308.16829456946022</v>
      </c>
      <c r="Q108" s="482">
        <f>'IMC References'!K51</f>
        <v>1.9373498005762296E-2</v>
      </c>
      <c r="R108" s="614">
        <f>'IMC References'!L51</f>
        <v>1.4161144886076093E-2</v>
      </c>
      <c r="S108" s="302"/>
      <c r="T108" s="413"/>
      <c r="U108" s="302"/>
      <c r="V108" s="302"/>
      <c r="W108" s="302"/>
      <c r="X108" s="302"/>
      <c r="Y108" s="302"/>
      <c r="Z108" s="302"/>
      <c r="AA108" s="302"/>
    </row>
    <row r="109" spans="1:38" ht="16" x14ac:dyDescent="0.2">
      <c r="A109" s="302"/>
      <c r="B109" s="433" t="s">
        <v>976</v>
      </c>
      <c r="C109" s="426"/>
      <c r="D109" s="427"/>
      <c r="E109" s="427"/>
      <c r="F109" s="427"/>
      <c r="G109" s="430"/>
      <c r="H109" s="427"/>
      <c r="I109" s="427"/>
      <c r="J109" s="427"/>
      <c r="K109" s="427"/>
      <c r="L109" s="427"/>
      <c r="M109" s="427"/>
      <c r="N109" s="431"/>
      <c r="O109" s="480">
        <f>'IMC References'!D93</f>
        <v>0</v>
      </c>
      <c r="P109" s="484">
        <f>'IMC References'!N44</f>
        <v>22.47863247863248</v>
      </c>
      <c r="Q109" s="482">
        <f>'IMC References'!K52</f>
        <v>2.6641699098408924E-3</v>
      </c>
      <c r="R109" s="614">
        <f>'IMC References'!L52</f>
        <v>3.7731292682160696E-3</v>
      </c>
      <c r="S109" s="302"/>
      <c r="T109" s="413"/>
      <c r="U109" s="302"/>
      <c r="V109" s="302"/>
      <c r="W109" s="302"/>
      <c r="X109" s="302"/>
      <c r="Y109" s="302"/>
      <c r="Z109" s="302"/>
      <c r="AA109" s="302"/>
    </row>
    <row r="110" spans="1:38" ht="32" x14ac:dyDescent="0.2">
      <c r="A110" s="302"/>
      <c r="B110" s="434" t="s">
        <v>977</v>
      </c>
      <c r="C110" s="426"/>
      <c r="D110" s="427"/>
      <c r="E110" s="427"/>
      <c r="F110" s="427"/>
      <c r="G110" s="427"/>
      <c r="H110" s="427"/>
      <c r="I110" s="427"/>
      <c r="J110" s="427"/>
      <c r="K110" s="427"/>
      <c r="L110" s="427"/>
      <c r="M110" s="427"/>
      <c r="N110" s="428"/>
      <c r="O110" s="163">
        <f>SUM(O111:O117)</f>
        <v>33554.959999999999</v>
      </c>
      <c r="P110" s="427"/>
      <c r="Q110" s="457">
        <f>'IMC References'!K37</f>
        <v>2.6843967999999999E-2</v>
      </c>
      <c r="R110" s="556">
        <f>'IMC References'!L37</f>
        <v>2.0132975999999997E-2</v>
      </c>
      <c r="S110" s="302"/>
      <c r="T110" s="413"/>
      <c r="U110" s="302"/>
      <c r="V110" s="302"/>
      <c r="W110" s="302"/>
      <c r="X110" s="302"/>
      <c r="Y110" s="302"/>
      <c r="Z110" s="302"/>
      <c r="AA110" s="302"/>
    </row>
    <row r="111" spans="1:38" ht="32" x14ac:dyDescent="0.2">
      <c r="A111" s="302"/>
      <c r="B111" s="435" t="s">
        <v>923</v>
      </c>
      <c r="C111" s="426"/>
      <c r="D111" s="436"/>
      <c r="E111" s="436"/>
      <c r="F111" s="436"/>
      <c r="G111" s="436"/>
      <c r="H111" s="436"/>
      <c r="I111" s="436"/>
      <c r="J111" s="436"/>
      <c r="K111" s="436"/>
      <c r="L111" s="437"/>
      <c r="M111" s="436"/>
      <c r="N111" s="428"/>
      <c r="O111" s="485">
        <f>'IMC References'!I17</f>
        <v>3244</v>
      </c>
      <c r="P111" s="486"/>
      <c r="Q111" s="482">
        <f>'IMC References'!K30</f>
        <v>2.5952000000000002E-3</v>
      </c>
      <c r="R111" s="559">
        <f>'IMC References'!L30</f>
        <v>1.9463999999999998E-3</v>
      </c>
      <c r="S111" s="302"/>
      <c r="T111" s="413"/>
      <c r="U111" s="302"/>
      <c r="V111" s="302"/>
      <c r="W111" s="302"/>
      <c r="X111" s="302"/>
      <c r="Y111" s="302"/>
      <c r="Z111" s="302"/>
      <c r="AA111" s="302"/>
    </row>
    <row r="112" spans="1:38" ht="16" x14ac:dyDescent="0.2">
      <c r="A112" s="302"/>
      <c r="B112" s="435" t="s">
        <v>978</v>
      </c>
      <c r="C112" s="426"/>
      <c r="D112" s="436"/>
      <c r="E112" s="436"/>
      <c r="F112" s="436"/>
      <c r="G112" s="436"/>
      <c r="H112" s="436"/>
      <c r="I112" s="436"/>
      <c r="J112" s="436"/>
      <c r="K112" s="436"/>
      <c r="L112" s="437"/>
      <c r="M112" s="169"/>
      <c r="N112" s="428"/>
      <c r="O112" s="485">
        <f>'IMC References'!I18</f>
        <v>6644</v>
      </c>
      <c r="P112" s="486"/>
      <c r="Q112" s="482">
        <f>'IMC References'!K31</f>
        <v>5.3152E-3</v>
      </c>
      <c r="R112" s="559">
        <f>'IMC References'!L31</f>
        <v>3.9863999999999993E-3</v>
      </c>
      <c r="S112" s="302"/>
      <c r="T112" s="413"/>
      <c r="U112" s="302"/>
      <c r="V112" s="302"/>
      <c r="W112" s="302"/>
      <c r="X112" s="302"/>
      <c r="Y112" s="302"/>
      <c r="Z112" s="302"/>
      <c r="AA112" s="302"/>
    </row>
    <row r="113" spans="1:27" ht="32" x14ac:dyDescent="0.2">
      <c r="A113" s="302"/>
      <c r="B113" s="435" t="s">
        <v>925</v>
      </c>
      <c r="C113" s="426"/>
      <c r="D113" s="436"/>
      <c r="E113" s="436"/>
      <c r="F113" s="436"/>
      <c r="G113" s="436"/>
      <c r="H113" s="436"/>
      <c r="I113" s="436"/>
      <c r="J113" s="436"/>
      <c r="K113" s="436"/>
      <c r="L113" s="169"/>
      <c r="M113" s="437"/>
      <c r="N113" s="428"/>
      <c r="O113" s="485">
        <f>'IMC References'!I19</f>
        <v>4242.96</v>
      </c>
      <c r="P113" s="486"/>
      <c r="Q113" s="482">
        <f>'IMC References'!K32</f>
        <v>3.394368E-3</v>
      </c>
      <c r="R113" s="559">
        <f>'IMC References'!L32</f>
        <v>2.5457759999999996E-3</v>
      </c>
      <c r="S113" s="302"/>
      <c r="T113" s="413"/>
      <c r="U113" s="302"/>
      <c r="V113" s="302"/>
      <c r="W113" s="302"/>
      <c r="X113" s="302"/>
      <c r="Y113" s="302"/>
      <c r="Z113" s="302"/>
      <c r="AA113" s="302"/>
    </row>
    <row r="114" spans="1:27" ht="16" x14ac:dyDescent="0.2">
      <c r="A114" s="302"/>
      <c r="B114" s="435" t="s">
        <v>979</v>
      </c>
      <c r="C114" s="426"/>
      <c r="D114" s="436"/>
      <c r="E114" s="436"/>
      <c r="F114" s="436"/>
      <c r="G114" s="436"/>
      <c r="H114" s="436"/>
      <c r="I114" s="436"/>
      <c r="J114" s="436"/>
      <c r="K114" s="436"/>
      <c r="L114" s="169"/>
      <c r="M114" s="437"/>
      <c r="N114" s="428"/>
      <c r="O114" s="485">
        <f>'IMC References'!I20</f>
        <v>3694</v>
      </c>
      <c r="P114" s="486"/>
      <c r="Q114" s="482">
        <f>'IMC References'!K33</f>
        <v>2.9551999999999998E-3</v>
      </c>
      <c r="R114" s="559">
        <f>'IMC References'!L33</f>
        <v>2.2163999999999999E-3</v>
      </c>
      <c r="S114" s="302"/>
      <c r="T114" s="413"/>
      <c r="U114" s="302"/>
      <c r="V114" s="302"/>
      <c r="W114" s="302"/>
      <c r="X114" s="302"/>
      <c r="Y114" s="302"/>
      <c r="Z114" s="302"/>
      <c r="AA114" s="302"/>
    </row>
    <row r="115" spans="1:27" ht="32" x14ac:dyDescent="0.2">
      <c r="A115" s="302"/>
      <c r="B115" s="435" t="s">
        <v>927</v>
      </c>
      <c r="C115" s="426"/>
      <c r="D115" s="436"/>
      <c r="E115" s="436"/>
      <c r="F115" s="436"/>
      <c r="G115" s="436"/>
      <c r="H115" s="436"/>
      <c r="I115" s="436"/>
      <c r="J115" s="436"/>
      <c r="K115" s="436"/>
      <c r="L115" s="436"/>
      <c r="M115" s="437"/>
      <c r="N115" s="428"/>
      <c r="O115" s="485">
        <f>'IMC References'!I21</f>
        <v>5643</v>
      </c>
      <c r="P115" s="486"/>
      <c r="Q115" s="482">
        <f>'IMC References'!K34</f>
        <v>4.5144E-3</v>
      </c>
      <c r="R115" s="559">
        <f>'IMC References'!L34</f>
        <v>3.3857999999999996E-3</v>
      </c>
      <c r="S115" s="302"/>
      <c r="T115" s="413"/>
      <c r="U115" s="302"/>
      <c r="V115" s="302"/>
      <c r="W115" s="302"/>
      <c r="X115" s="302"/>
      <c r="Y115" s="302"/>
      <c r="Z115" s="302"/>
      <c r="AA115" s="302"/>
    </row>
    <row r="116" spans="1:27" ht="32" x14ac:dyDescent="0.2">
      <c r="A116" s="302"/>
      <c r="B116" s="435" t="s">
        <v>980</v>
      </c>
      <c r="C116" s="439"/>
      <c r="D116" s="436"/>
      <c r="E116" s="436"/>
      <c r="F116" s="436"/>
      <c r="G116" s="436"/>
      <c r="H116" s="436"/>
      <c r="I116" s="436"/>
      <c r="J116" s="436"/>
      <c r="K116" s="436"/>
      <c r="L116" s="436"/>
      <c r="M116" s="436"/>
      <c r="N116" s="428"/>
      <c r="O116" s="485">
        <f>'IMC References'!I22</f>
        <v>3543</v>
      </c>
      <c r="P116" s="486"/>
      <c r="Q116" s="482">
        <f>'IMC References'!K35</f>
        <v>2.8343999999999999E-3</v>
      </c>
      <c r="R116" s="559">
        <f>'IMC References'!L35</f>
        <v>2.1257999999999997E-3</v>
      </c>
      <c r="S116" s="302"/>
      <c r="T116" s="413"/>
      <c r="U116" s="302"/>
      <c r="V116" s="302"/>
      <c r="W116" s="302"/>
      <c r="X116" s="302"/>
      <c r="Y116" s="302"/>
      <c r="Z116" s="302"/>
      <c r="AA116" s="302"/>
    </row>
    <row r="117" spans="1:27" ht="16" x14ac:dyDescent="0.2">
      <c r="A117" s="302"/>
      <c r="B117" s="435" t="s">
        <v>929</v>
      </c>
      <c r="C117" s="426"/>
      <c r="D117" s="436"/>
      <c r="E117" s="437"/>
      <c r="F117" s="436"/>
      <c r="G117" s="436"/>
      <c r="H117" s="436"/>
      <c r="I117" s="436"/>
      <c r="J117" s="436"/>
      <c r="K117" s="436"/>
      <c r="L117" s="436"/>
      <c r="M117" s="436"/>
      <c r="N117" s="428"/>
      <c r="O117" s="485">
        <f>'IMC References'!I23</f>
        <v>6544</v>
      </c>
      <c r="P117" s="486"/>
      <c r="Q117" s="482">
        <f>'IMC References'!K36</f>
        <v>5.2351999999999997E-3</v>
      </c>
      <c r="R117" s="559">
        <f>'IMC References'!L36</f>
        <v>3.9264E-3</v>
      </c>
      <c r="S117" s="302"/>
      <c r="T117" s="413"/>
      <c r="U117" s="302"/>
      <c r="V117" s="302"/>
      <c r="W117" s="302"/>
      <c r="X117" s="302"/>
      <c r="Y117" s="302"/>
      <c r="Z117" s="302"/>
      <c r="AA117" s="302"/>
    </row>
    <row r="118" spans="1:27" ht="16" x14ac:dyDescent="0.2">
      <c r="A118" s="302"/>
      <c r="B118" s="440" t="s">
        <v>76</v>
      </c>
      <c r="C118" s="441"/>
      <c r="D118" s="442"/>
      <c r="E118" s="442"/>
      <c r="F118" s="442"/>
      <c r="G118" s="442"/>
      <c r="H118" s="442"/>
      <c r="I118" s="442"/>
      <c r="J118" s="442"/>
      <c r="K118" s="442"/>
      <c r="L118" s="442"/>
      <c r="M118" s="442"/>
      <c r="N118" s="443"/>
      <c r="O118" s="163">
        <f>'IMC References'!J113</f>
        <v>79081.989999999991</v>
      </c>
      <c r="P118" s="470"/>
      <c r="Q118" s="476">
        <v>0.06</v>
      </c>
      <c r="R118" s="477">
        <v>0.06</v>
      </c>
      <c r="S118" s="302"/>
      <c r="T118" s="413"/>
      <c r="U118" s="302"/>
      <c r="V118" s="302"/>
      <c r="W118" s="302"/>
      <c r="X118" s="302"/>
      <c r="Y118" s="302"/>
      <c r="Z118" s="302"/>
      <c r="AA118" s="302"/>
    </row>
    <row r="119" spans="1:27" ht="16" x14ac:dyDescent="0.2">
      <c r="A119" s="302"/>
      <c r="B119" s="434" t="s">
        <v>930</v>
      </c>
      <c r="C119" s="444"/>
      <c r="D119" s="436"/>
      <c r="E119" s="436"/>
      <c r="F119" s="436"/>
      <c r="G119" s="436"/>
      <c r="H119" s="436"/>
      <c r="I119" s="436"/>
      <c r="J119" s="436"/>
      <c r="K119" s="436"/>
      <c r="L119" s="436"/>
      <c r="M119" s="436"/>
      <c r="N119" s="445"/>
      <c r="O119" s="165">
        <f>'IMC References'!D66</f>
        <v>86000</v>
      </c>
      <c r="P119" s="446"/>
      <c r="Q119" s="557">
        <f>'IMC References'!K82</f>
        <v>3.44E-2</v>
      </c>
      <c r="R119" s="558">
        <f>'IMC References'!L82</f>
        <v>2.5799999999999997E-2</v>
      </c>
      <c r="S119" s="302"/>
      <c r="T119" s="413"/>
      <c r="U119" s="302"/>
      <c r="V119" s="302"/>
      <c r="W119" s="302"/>
      <c r="X119" s="302"/>
      <c r="Y119" s="302"/>
      <c r="Z119" s="302"/>
      <c r="AA119" s="302"/>
    </row>
    <row r="120" spans="1:27" ht="48" x14ac:dyDescent="0.2">
      <c r="A120" s="302"/>
      <c r="B120" s="340" t="s">
        <v>931</v>
      </c>
      <c r="C120" s="444"/>
      <c r="D120" s="436"/>
      <c r="E120" s="436"/>
      <c r="F120" s="436"/>
      <c r="G120" s="302"/>
      <c r="H120" s="302"/>
      <c r="I120" s="302"/>
      <c r="J120" s="302"/>
      <c r="K120" s="302"/>
      <c r="L120" s="302"/>
      <c r="M120" s="302"/>
      <c r="N120" s="302"/>
      <c r="O120" s="165"/>
      <c r="P120" s="446"/>
      <c r="Q120" s="447"/>
      <c r="R120" s="448"/>
      <c r="S120" s="302"/>
      <c r="T120" s="413"/>
      <c r="U120" s="302"/>
      <c r="V120" s="302"/>
      <c r="W120" s="302"/>
      <c r="X120" s="302"/>
      <c r="Y120" s="302"/>
      <c r="Z120" s="302"/>
      <c r="AA120" s="302"/>
    </row>
    <row r="121" spans="1:27" ht="32" x14ac:dyDescent="0.2">
      <c r="A121" s="302"/>
      <c r="B121" s="433" t="s">
        <v>993</v>
      </c>
      <c r="C121" s="444"/>
      <c r="D121" s="436"/>
      <c r="E121" s="436"/>
      <c r="F121" s="436"/>
      <c r="G121" s="348" t="s">
        <v>933</v>
      </c>
      <c r="H121" s="348" t="s">
        <v>934</v>
      </c>
      <c r="I121" s="348" t="s">
        <v>935</v>
      </c>
      <c r="J121" s="343"/>
      <c r="K121" s="343"/>
      <c r="L121" s="343"/>
      <c r="M121" s="343"/>
      <c r="N121" s="349" t="s">
        <v>936</v>
      </c>
      <c r="O121" s="480">
        <f>'IMC References'!C64</f>
        <v>3000</v>
      </c>
      <c r="P121" s="486"/>
      <c r="Q121" s="482">
        <f>'IMC References'!K72</f>
        <v>2.3999999999999998E-3</v>
      </c>
      <c r="R121" s="559">
        <f>'IMC References'!L72</f>
        <v>1.7999999999999997E-3</v>
      </c>
      <c r="S121" s="302"/>
      <c r="T121" s="413"/>
      <c r="U121" s="302"/>
      <c r="V121" s="302"/>
      <c r="W121" s="302"/>
      <c r="X121" s="302"/>
      <c r="Y121" s="302"/>
      <c r="Z121" s="302"/>
      <c r="AA121" s="302"/>
    </row>
    <row r="122" spans="1:27" ht="32" x14ac:dyDescent="0.2">
      <c r="A122" s="302"/>
      <c r="B122" s="433" t="s">
        <v>994</v>
      </c>
      <c r="C122" s="444"/>
      <c r="D122" s="436"/>
      <c r="E122" s="436"/>
      <c r="F122" s="436"/>
      <c r="G122" s="348" t="s">
        <v>938</v>
      </c>
      <c r="H122" s="348" t="s">
        <v>939</v>
      </c>
      <c r="I122" s="343"/>
      <c r="J122" s="343"/>
      <c r="K122" s="348" t="s">
        <v>935</v>
      </c>
      <c r="L122" s="343"/>
      <c r="M122" s="343"/>
      <c r="N122" s="349" t="s">
        <v>936</v>
      </c>
      <c r="O122" s="480">
        <f>'IMC References'!D64</f>
        <v>2600</v>
      </c>
      <c r="P122" s="486"/>
      <c r="Q122" s="482">
        <f>'IMC References'!K73</f>
        <v>2.0800000000000003E-3</v>
      </c>
      <c r="R122" s="559">
        <f>'IMC References'!L73</f>
        <v>1.5599999999999998E-3</v>
      </c>
      <c r="S122" s="302"/>
      <c r="T122" s="413"/>
      <c r="U122" s="302"/>
      <c r="V122" s="302"/>
      <c r="W122" s="302"/>
      <c r="X122" s="302"/>
      <c r="Y122" s="302"/>
      <c r="Z122" s="302"/>
      <c r="AA122" s="302"/>
    </row>
    <row r="123" spans="1:27" ht="32" x14ac:dyDescent="0.2">
      <c r="A123" s="302"/>
      <c r="B123" s="433" t="s">
        <v>995</v>
      </c>
      <c r="C123" s="444"/>
      <c r="D123" s="436"/>
      <c r="E123" s="436"/>
      <c r="F123" s="436"/>
      <c r="G123" s="348" t="s">
        <v>938</v>
      </c>
      <c r="H123" s="348" t="s">
        <v>939</v>
      </c>
      <c r="I123" s="343"/>
      <c r="J123" s="343"/>
      <c r="K123" s="348" t="s">
        <v>935</v>
      </c>
      <c r="L123" s="343"/>
      <c r="M123" s="343"/>
      <c r="N123" s="349" t="s">
        <v>936</v>
      </c>
      <c r="O123" s="480">
        <f>'IMC References'!E64</f>
        <v>2600</v>
      </c>
      <c r="P123" s="486"/>
      <c r="Q123" s="482">
        <f>'IMC References'!K74</f>
        <v>2.0800000000000003E-3</v>
      </c>
      <c r="R123" s="559">
        <f>'IMC References'!L74</f>
        <v>1.5599999999999998E-3</v>
      </c>
      <c r="S123" s="302"/>
      <c r="T123" s="413"/>
      <c r="U123" s="302"/>
      <c r="V123" s="302"/>
      <c r="W123" s="302"/>
      <c r="X123" s="302"/>
      <c r="Y123" s="302"/>
      <c r="Z123" s="302"/>
      <c r="AA123" s="302"/>
    </row>
    <row r="124" spans="1:27" ht="32" x14ac:dyDescent="0.2">
      <c r="A124" s="302"/>
      <c r="B124" s="433" t="s">
        <v>996</v>
      </c>
      <c r="C124" s="444"/>
      <c r="D124" s="436"/>
      <c r="E124" s="436"/>
      <c r="F124" s="436"/>
      <c r="G124" s="348" t="s">
        <v>933</v>
      </c>
      <c r="H124" s="348" t="s">
        <v>934</v>
      </c>
      <c r="I124" s="348" t="s">
        <v>942</v>
      </c>
      <c r="J124" s="348" t="s">
        <v>943</v>
      </c>
      <c r="K124" s="343"/>
      <c r="L124" s="343"/>
      <c r="M124" s="343"/>
      <c r="N124" s="349" t="s">
        <v>936</v>
      </c>
      <c r="O124" s="480">
        <f>'IMC References'!F64</f>
        <v>2400</v>
      </c>
      <c r="P124" s="486"/>
      <c r="Q124" s="482">
        <f>'IMC References'!K75</f>
        <v>1.92E-3</v>
      </c>
      <c r="R124" s="559">
        <f>'IMC References'!L75</f>
        <v>1.4399999999999999E-3</v>
      </c>
      <c r="S124" s="302"/>
      <c r="T124" s="413"/>
      <c r="U124" s="302"/>
      <c r="V124" s="302"/>
      <c r="W124" s="302"/>
      <c r="X124" s="302"/>
      <c r="Y124" s="302"/>
      <c r="Z124" s="302"/>
      <c r="AA124" s="302"/>
    </row>
    <row r="125" spans="1:27" ht="32" x14ac:dyDescent="0.2">
      <c r="A125" s="302"/>
      <c r="B125" s="433" t="s">
        <v>997</v>
      </c>
      <c r="C125" s="444"/>
      <c r="D125" s="436"/>
      <c r="E125" s="436"/>
      <c r="F125" s="436"/>
      <c r="G125" s="348" t="s">
        <v>938</v>
      </c>
      <c r="H125" s="348" t="s">
        <v>939</v>
      </c>
      <c r="I125" s="343"/>
      <c r="J125" s="343"/>
      <c r="K125" s="348" t="s">
        <v>935</v>
      </c>
      <c r="L125" s="343"/>
      <c r="M125" s="343"/>
      <c r="N125" s="349" t="s">
        <v>936</v>
      </c>
      <c r="O125" s="480">
        <f>'IMC References'!G64</f>
        <v>2800</v>
      </c>
      <c r="P125" s="486"/>
      <c r="Q125" s="482">
        <f>'IMC References'!K76</f>
        <v>2.2400000000000002E-3</v>
      </c>
      <c r="R125" s="559">
        <f>'IMC References'!L76</f>
        <v>1.6799999999999999E-3</v>
      </c>
      <c r="S125" s="302"/>
      <c r="T125" s="413"/>
      <c r="U125" s="302"/>
      <c r="V125" s="302"/>
      <c r="W125" s="302"/>
      <c r="X125" s="302"/>
      <c r="Y125" s="302"/>
      <c r="Z125" s="302"/>
      <c r="AA125" s="302"/>
    </row>
    <row r="126" spans="1:27" ht="32" x14ac:dyDescent="0.2">
      <c r="A126" s="302"/>
      <c r="B126" s="433" t="s">
        <v>998</v>
      </c>
      <c r="C126" s="444"/>
      <c r="D126" s="436"/>
      <c r="E126" s="436"/>
      <c r="F126" s="436"/>
      <c r="G126" s="348" t="s">
        <v>933</v>
      </c>
      <c r="H126" s="348" t="s">
        <v>939</v>
      </c>
      <c r="I126" s="343"/>
      <c r="J126" s="348" t="s">
        <v>942</v>
      </c>
      <c r="K126" s="352" t="s">
        <v>946</v>
      </c>
      <c r="L126" s="343"/>
      <c r="M126" s="343"/>
      <c r="N126" s="349" t="s">
        <v>936</v>
      </c>
      <c r="O126" s="480">
        <f>'IMC References'!H64</f>
        <v>4000</v>
      </c>
      <c r="P126" s="486"/>
      <c r="Q126" s="482">
        <f>'IMC References'!K77</f>
        <v>3.2000000000000002E-3</v>
      </c>
      <c r="R126" s="559">
        <f>'IMC References'!L77</f>
        <v>2.3999999999999998E-3</v>
      </c>
      <c r="S126" s="302"/>
      <c r="T126" s="413"/>
      <c r="U126" s="302"/>
      <c r="V126" s="302"/>
      <c r="W126" s="302"/>
      <c r="X126" s="302"/>
      <c r="Y126" s="302"/>
      <c r="Z126" s="302"/>
      <c r="AA126" s="302"/>
    </row>
    <row r="127" spans="1:27" ht="32" x14ac:dyDescent="0.2">
      <c r="A127" s="302"/>
      <c r="B127" s="449" t="s">
        <v>999</v>
      </c>
      <c r="C127" s="444"/>
      <c r="D127" s="436"/>
      <c r="E127" s="436"/>
      <c r="F127" s="436"/>
      <c r="G127" s="348" t="s">
        <v>933</v>
      </c>
      <c r="H127" s="348" t="s">
        <v>934</v>
      </c>
      <c r="I127" s="343"/>
      <c r="J127" s="348" t="s">
        <v>942</v>
      </c>
      <c r="K127" s="348" t="s">
        <v>943</v>
      </c>
      <c r="L127" s="343"/>
      <c r="M127" s="343"/>
      <c r="N127" s="349" t="s">
        <v>936</v>
      </c>
      <c r="O127" s="480">
        <f>'IMC References'!K64</f>
        <v>8000</v>
      </c>
      <c r="P127" s="486"/>
      <c r="Q127" s="482">
        <f>'IMC References'!K78</f>
        <v>3.8400000000000001E-3</v>
      </c>
      <c r="R127" s="559">
        <f>'IMC References'!L78</f>
        <v>2.8799999999999997E-3</v>
      </c>
      <c r="S127" s="302"/>
      <c r="T127" s="413"/>
      <c r="U127" s="302"/>
      <c r="V127" s="302"/>
      <c r="W127" s="302"/>
      <c r="X127" s="302"/>
      <c r="Y127" s="302"/>
      <c r="Z127" s="302"/>
      <c r="AA127" s="302"/>
    </row>
    <row r="128" spans="1:27" ht="32" x14ac:dyDescent="0.2">
      <c r="A128" s="302"/>
      <c r="B128" s="433" t="s">
        <v>1000</v>
      </c>
      <c r="C128" s="444"/>
      <c r="D128" s="436"/>
      <c r="E128" s="436"/>
      <c r="F128" s="436"/>
      <c r="G128" s="348" t="s">
        <v>933</v>
      </c>
      <c r="H128" s="348" t="s">
        <v>934</v>
      </c>
      <c r="I128" s="343"/>
      <c r="J128" s="348" t="s">
        <v>935</v>
      </c>
      <c r="K128" s="343"/>
      <c r="L128" s="169"/>
      <c r="M128" s="343"/>
      <c r="N128" s="349" t="s">
        <v>936</v>
      </c>
      <c r="O128" s="480">
        <f>'IMC References'!I64</f>
        <v>4800</v>
      </c>
      <c r="P128" s="486"/>
      <c r="Q128" s="482">
        <f>'IMC References'!K79</f>
        <v>6.4000000000000003E-3</v>
      </c>
      <c r="R128" s="559">
        <f>'IMC References'!L79</f>
        <v>4.7999999999999996E-3</v>
      </c>
      <c r="S128" s="302"/>
      <c r="T128" s="413"/>
      <c r="U128" s="302"/>
      <c r="V128" s="302"/>
      <c r="W128" s="302"/>
      <c r="X128" s="302"/>
      <c r="Y128" s="302"/>
      <c r="Z128" s="302"/>
      <c r="AA128" s="302"/>
    </row>
    <row r="129" spans="1:27" ht="32" x14ac:dyDescent="0.2">
      <c r="A129" s="302"/>
      <c r="B129" s="433" t="s">
        <v>985</v>
      </c>
      <c r="C129" s="444"/>
      <c r="D129" s="436"/>
      <c r="E129" s="436"/>
      <c r="F129" s="436"/>
      <c r="G129" s="348" t="s">
        <v>933</v>
      </c>
      <c r="H129" s="348" t="s">
        <v>934</v>
      </c>
      <c r="I129" s="343"/>
      <c r="J129" s="348" t="s">
        <v>935</v>
      </c>
      <c r="K129" s="343"/>
      <c r="L129" s="169"/>
      <c r="M129" s="343"/>
      <c r="N129" s="349" t="s">
        <v>936</v>
      </c>
      <c r="O129" s="480">
        <f>'IMC References'!M64</f>
        <v>10000</v>
      </c>
      <c r="P129" s="486"/>
      <c r="Q129" s="482">
        <f>'IMC References'!K80</f>
        <v>8.0000000000000002E-3</v>
      </c>
      <c r="R129" s="559">
        <f>'IMC References'!L80</f>
        <v>5.9999999999999993E-3</v>
      </c>
      <c r="S129" s="302"/>
      <c r="T129" s="413"/>
      <c r="U129" s="302"/>
      <c r="V129" s="302"/>
      <c r="W129" s="302"/>
      <c r="X129" s="302"/>
      <c r="Y129" s="302"/>
      <c r="Z129" s="302"/>
      <c r="AA129" s="302"/>
    </row>
    <row r="130" spans="1:27" ht="32" x14ac:dyDescent="0.2">
      <c r="A130" s="302"/>
      <c r="B130" s="433" t="s">
        <v>986</v>
      </c>
      <c r="C130" s="444"/>
      <c r="D130" s="436"/>
      <c r="E130" s="436"/>
      <c r="F130" s="436"/>
      <c r="G130" s="348" t="s">
        <v>933</v>
      </c>
      <c r="H130" s="348" t="s">
        <v>934</v>
      </c>
      <c r="I130" s="343"/>
      <c r="J130" s="348" t="s">
        <v>935</v>
      </c>
      <c r="K130" s="343"/>
      <c r="L130" s="169"/>
      <c r="M130" s="343"/>
      <c r="N130" s="349" t="s">
        <v>936</v>
      </c>
      <c r="O130" s="480">
        <f>'IMC References'!N64</f>
        <v>2800</v>
      </c>
      <c r="P130" s="486"/>
      <c r="Q130" s="482">
        <f>'IMC References'!K81</f>
        <v>2.2400000000000002E-3</v>
      </c>
      <c r="R130" s="559">
        <f>'IMC References'!L81</f>
        <v>1.6799999999999999E-3</v>
      </c>
      <c r="S130" s="302"/>
      <c r="T130" s="413"/>
      <c r="U130" s="302"/>
      <c r="V130" s="302"/>
      <c r="W130" s="302"/>
      <c r="X130" s="302"/>
      <c r="Y130" s="302"/>
      <c r="Z130" s="302"/>
      <c r="AA130" s="302"/>
    </row>
    <row r="131" spans="1:27" ht="16" x14ac:dyDescent="0.2">
      <c r="A131" s="302"/>
      <c r="B131" s="440" t="s">
        <v>951</v>
      </c>
      <c r="C131" s="444"/>
      <c r="D131" s="436"/>
      <c r="E131" s="436"/>
      <c r="F131" s="436"/>
      <c r="G131" s="436"/>
      <c r="H131" s="436"/>
      <c r="I131" s="436"/>
      <c r="J131" s="436"/>
      <c r="K131" s="436"/>
      <c r="L131" s="436"/>
      <c r="M131" s="436"/>
      <c r="N131" s="445"/>
      <c r="O131" s="164"/>
      <c r="P131" s="427"/>
      <c r="Q131" s="450">
        <v>0.01</v>
      </c>
      <c r="R131" s="451">
        <v>0.01</v>
      </c>
      <c r="S131" s="302"/>
      <c r="T131" s="413"/>
      <c r="U131" s="302"/>
      <c r="V131" s="302"/>
      <c r="W131" s="302"/>
      <c r="X131" s="302"/>
      <c r="Y131" s="302"/>
      <c r="Z131" s="302"/>
      <c r="AA131" s="302"/>
    </row>
    <row r="132" spans="1:27" ht="64" x14ac:dyDescent="0.2">
      <c r="A132" s="302"/>
      <c r="B132" s="435" t="s">
        <v>952</v>
      </c>
      <c r="C132" s="444"/>
      <c r="D132" s="436"/>
      <c r="E132" s="436"/>
      <c r="F132" s="436"/>
      <c r="G132" s="452"/>
      <c r="H132" s="436"/>
      <c r="I132" s="436"/>
      <c r="J132" s="436"/>
      <c r="K132" s="436"/>
      <c r="L132" s="436"/>
      <c r="M132" s="436"/>
      <c r="N132" s="453"/>
      <c r="O132" s="163"/>
      <c r="P132" s="427"/>
      <c r="Q132" s="427"/>
      <c r="R132" s="454"/>
      <c r="S132" s="302"/>
      <c r="T132" s="413"/>
      <c r="U132" s="302"/>
      <c r="V132" s="302"/>
      <c r="W132" s="302"/>
      <c r="X132" s="302"/>
      <c r="Y132" s="302"/>
      <c r="Z132" s="302"/>
      <c r="AA132" s="302"/>
    </row>
    <row r="133" spans="1:27" ht="80" x14ac:dyDescent="0.2">
      <c r="A133" s="302"/>
      <c r="B133" s="435" t="s">
        <v>987</v>
      </c>
      <c r="C133" s="444"/>
      <c r="D133" s="436"/>
      <c r="E133" s="436"/>
      <c r="F133" s="436"/>
      <c r="G133" s="452"/>
      <c r="H133" s="436"/>
      <c r="I133" s="436"/>
      <c r="J133" s="436"/>
      <c r="K133" s="436"/>
      <c r="L133" s="436"/>
      <c r="M133" s="436"/>
      <c r="N133" s="453"/>
      <c r="O133" s="432"/>
      <c r="P133" s="427"/>
      <c r="Q133" s="427"/>
      <c r="R133" s="454"/>
      <c r="S133" s="302"/>
      <c r="T133" s="413"/>
      <c r="U133" s="302"/>
      <c r="V133" s="302"/>
      <c r="W133" s="302"/>
      <c r="X133" s="302"/>
      <c r="Y133" s="302"/>
      <c r="Z133" s="302"/>
      <c r="AA133" s="302"/>
    </row>
    <row r="134" spans="1:27" ht="16" x14ac:dyDescent="0.2">
      <c r="A134" s="302"/>
      <c r="B134" s="440" t="s">
        <v>954</v>
      </c>
      <c r="C134" s="444"/>
      <c r="D134" s="436"/>
      <c r="E134" s="436"/>
      <c r="F134" s="436"/>
      <c r="G134" s="455"/>
      <c r="H134" s="436"/>
      <c r="I134" s="436"/>
      <c r="J134" s="436"/>
      <c r="K134" s="436"/>
      <c r="L134" s="436"/>
      <c r="M134" s="436"/>
      <c r="N134" s="456"/>
      <c r="O134" s="164">
        <f>'IMC References'!F92</f>
        <v>13000</v>
      </c>
      <c r="P134" s="427"/>
      <c r="Q134" s="457">
        <f>'IMC References'!K105</f>
        <v>3.5802616549366218E-3</v>
      </c>
      <c r="R134" s="458">
        <f>'IMC References'!L105</f>
        <v>2.6120982863338651E-2</v>
      </c>
      <c r="S134" s="302"/>
      <c r="T134" s="413"/>
      <c r="U134" s="302"/>
      <c r="V134" s="302"/>
      <c r="W134" s="302"/>
      <c r="X134" s="302"/>
      <c r="Y134" s="302"/>
      <c r="Z134" s="302"/>
      <c r="AA134" s="302"/>
    </row>
    <row r="135" spans="1:27" ht="16" x14ac:dyDescent="0.2">
      <c r="A135" s="302"/>
      <c r="B135" s="440" t="s">
        <v>955</v>
      </c>
      <c r="C135" s="444"/>
      <c r="D135" s="641"/>
      <c r="E135" s="641"/>
      <c r="F135" s="641"/>
      <c r="G135" s="641"/>
      <c r="H135" s="641"/>
      <c r="I135" s="641"/>
      <c r="J135" s="641"/>
      <c r="K135" s="641"/>
      <c r="L135" s="641"/>
      <c r="M135" s="641"/>
      <c r="N135" s="642"/>
      <c r="O135" s="668">
        <f>'IMC References'!C113</f>
        <v>11500</v>
      </c>
      <c r="P135" s="643"/>
      <c r="Q135" s="459">
        <v>0</v>
      </c>
      <c r="R135" s="460">
        <v>0</v>
      </c>
      <c r="S135" s="302"/>
      <c r="T135" s="413"/>
      <c r="U135" s="302"/>
      <c r="V135" s="302"/>
      <c r="W135" s="302"/>
      <c r="X135" s="302"/>
      <c r="Y135" s="302"/>
      <c r="Z135" s="302"/>
      <c r="AA135" s="302"/>
    </row>
    <row r="136" spans="1:27" ht="16" x14ac:dyDescent="0.2">
      <c r="A136" s="302"/>
      <c r="B136" s="440" t="s">
        <v>956</v>
      </c>
      <c r="C136" s="641"/>
      <c r="D136" s="641"/>
      <c r="E136" s="641"/>
      <c r="F136" s="641"/>
      <c r="G136" s="641"/>
      <c r="H136" s="641"/>
      <c r="I136" s="641"/>
      <c r="J136" s="641"/>
      <c r="K136" s="641"/>
      <c r="L136" s="641"/>
      <c r="M136" s="641"/>
      <c r="N136" s="641"/>
      <c r="O136" s="641"/>
      <c r="P136" s="641"/>
      <c r="Q136" s="457">
        <f>'IMC References'!G126</f>
        <v>7.7465532790514822E-3</v>
      </c>
      <c r="R136" s="458">
        <f>'IMC References'!G127</f>
        <v>1.6593401202651327E-2</v>
      </c>
      <c r="S136" s="302"/>
      <c r="T136" s="413"/>
      <c r="U136" s="302"/>
      <c r="V136" s="302"/>
      <c r="W136" s="302"/>
      <c r="X136" s="302"/>
      <c r="Y136" s="302"/>
      <c r="Z136" s="302"/>
      <c r="AA136" s="302"/>
    </row>
    <row r="137" spans="1:27" ht="16" x14ac:dyDescent="0.2">
      <c r="A137" s="302"/>
      <c r="B137" s="655" t="s">
        <v>958</v>
      </c>
      <c r="C137" s="656"/>
      <c r="D137" s="657"/>
      <c r="E137" s="657"/>
      <c r="F137" s="657"/>
      <c r="G137" s="657"/>
      <c r="H137" s="657"/>
      <c r="I137" s="657"/>
      <c r="J137" s="657"/>
      <c r="K137" s="657"/>
      <c r="L137" s="657"/>
      <c r="M137" s="657"/>
      <c r="N137" s="657"/>
      <c r="O137" s="657"/>
      <c r="P137" s="657"/>
      <c r="Q137" s="661">
        <f>'IMC References'!F132</f>
        <v>0.02</v>
      </c>
      <c r="R137" s="662">
        <f>'IMC References'!F132</f>
        <v>0.02</v>
      </c>
      <c r="S137" s="302"/>
      <c r="T137" s="413"/>
      <c r="U137" s="302"/>
      <c r="V137" s="302"/>
      <c r="W137" s="302"/>
      <c r="X137" s="302"/>
      <c r="Y137" s="302"/>
      <c r="Z137" s="302"/>
      <c r="AA137" s="302"/>
    </row>
    <row r="138" spans="1:27" ht="16" x14ac:dyDescent="0.2">
      <c r="A138" s="302"/>
      <c r="B138" s="560" t="s">
        <v>957</v>
      </c>
      <c r="C138" s="420"/>
      <c r="D138" s="421"/>
      <c r="E138" s="421"/>
      <c r="F138" s="421"/>
      <c r="G138" s="421"/>
      <c r="H138" s="421"/>
      <c r="I138" s="421"/>
      <c r="J138" s="421"/>
      <c r="K138" s="421"/>
      <c r="L138" s="421"/>
      <c r="M138" s="421"/>
      <c r="N138" s="422"/>
      <c r="O138" s="561">
        <f>O135+O134+O131+O119+O118+O110+O106</f>
        <v>395409.94999999995</v>
      </c>
      <c r="P138" s="421"/>
      <c r="Q138" s="562">
        <f>Q136+Q135+Q119+Q118+Q110+Q106+Q131+Q134+Q137</f>
        <v>0.19983862216751505</v>
      </c>
      <c r="R138" s="592">
        <f>R136+R135+R119+R118+R110+R106+R131+R134+R137</f>
        <v>0.22991665961871835</v>
      </c>
      <c r="S138" s="302"/>
      <c r="T138" s="413"/>
      <c r="U138" s="302"/>
      <c r="V138" s="302"/>
      <c r="W138" s="302"/>
      <c r="X138" s="302"/>
      <c r="Y138" s="302"/>
      <c r="Z138" s="302"/>
      <c r="AA138" s="302"/>
    </row>
    <row r="139" spans="1:27" ht="16" x14ac:dyDescent="0.2">
      <c r="A139" s="302"/>
      <c r="B139" s="461"/>
      <c r="C139" s="462"/>
      <c r="D139" s="463"/>
      <c r="E139" s="463"/>
      <c r="F139" s="463"/>
      <c r="G139" s="463"/>
      <c r="H139" s="463"/>
      <c r="I139" s="463"/>
      <c r="J139" s="463"/>
      <c r="K139" s="463"/>
      <c r="L139" s="463"/>
      <c r="M139" s="463"/>
      <c r="N139" s="464"/>
      <c r="O139" s="465"/>
      <c r="P139" s="463"/>
      <c r="Q139" s="463"/>
      <c r="R139" s="466"/>
      <c r="S139" s="302"/>
      <c r="T139" s="413"/>
      <c r="U139" s="302"/>
      <c r="V139" s="302"/>
      <c r="W139" s="302"/>
      <c r="X139" s="302"/>
      <c r="Y139" s="302"/>
      <c r="Z139" s="302"/>
      <c r="AA139" s="302"/>
    </row>
    <row r="140" spans="1:27" ht="16" x14ac:dyDescent="0.2">
      <c r="A140" s="302"/>
      <c r="B140" s="162" t="s">
        <v>959</v>
      </c>
      <c r="C140" s="426"/>
      <c r="D140" s="427"/>
      <c r="E140" s="427"/>
      <c r="F140" s="427"/>
      <c r="G140" s="427"/>
      <c r="H140" s="427"/>
      <c r="I140" s="427"/>
      <c r="J140" s="427"/>
      <c r="K140" s="427"/>
      <c r="L140" s="427"/>
      <c r="M140" s="427"/>
      <c r="N140" s="428"/>
      <c r="O140" s="432"/>
      <c r="P140" s="427"/>
      <c r="Q140" s="427"/>
      <c r="R140" s="454"/>
      <c r="S140" s="302"/>
      <c r="T140" s="413"/>
      <c r="U140" s="302"/>
      <c r="V140" s="302"/>
      <c r="W140" s="302"/>
      <c r="X140" s="302"/>
      <c r="Y140" s="302"/>
      <c r="Z140" s="302"/>
      <c r="AA140" s="302"/>
    </row>
    <row r="141" spans="1:27" ht="16" x14ac:dyDescent="0.2">
      <c r="A141" s="302"/>
      <c r="B141" s="467" t="s">
        <v>960</v>
      </c>
      <c r="C141" s="426"/>
      <c r="D141" s="427"/>
      <c r="E141" s="427"/>
      <c r="F141" s="427"/>
      <c r="G141" s="427"/>
      <c r="H141" s="427"/>
      <c r="I141" s="427"/>
      <c r="J141" s="427"/>
      <c r="K141" s="427"/>
      <c r="L141" s="427"/>
      <c r="M141" s="427"/>
      <c r="N141" s="428"/>
      <c r="O141" s="161">
        <f>5000+O142+O144+O143</f>
        <v>26040</v>
      </c>
      <c r="P141" s="427"/>
      <c r="Q141" s="427"/>
      <c r="R141" s="454"/>
      <c r="S141" s="302"/>
      <c r="T141" s="413"/>
      <c r="U141" s="302"/>
      <c r="V141" s="302"/>
      <c r="W141" s="302"/>
      <c r="X141" s="302"/>
      <c r="Y141" s="302"/>
      <c r="Z141" s="302"/>
      <c r="AA141" s="302"/>
    </row>
    <row r="142" spans="1:27" ht="16" x14ac:dyDescent="0.2">
      <c r="A142" s="302"/>
      <c r="B142" s="433" t="s">
        <v>961</v>
      </c>
      <c r="C142" s="468"/>
      <c r="D142" s="436"/>
      <c r="E142" s="436"/>
      <c r="F142" s="427"/>
      <c r="G142" s="427"/>
      <c r="H142" s="427"/>
      <c r="I142" s="427"/>
      <c r="J142" s="427"/>
      <c r="K142" s="427"/>
      <c r="L142" s="427"/>
      <c r="M142" s="427"/>
      <c r="N142" s="428"/>
      <c r="O142" s="438">
        <f>(64*70)*2</f>
        <v>8960</v>
      </c>
      <c r="P142" s="427"/>
      <c r="Q142" s="427"/>
      <c r="R142" s="454"/>
      <c r="S142" s="302"/>
      <c r="T142" s="413"/>
      <c r="U142" s="302"/>
      <c r="V142" s="302"/>
      <c r="W142" s="302"/>
      <c r="X142" s="302"/>
      <c r="Y142" s="302"/>
      <c r="Z142" s="302"/>
      <c r="AA142" s="302"/>
    </row>
    <row r="143" spans="1:27" ht="16" x14ac:dyDescent="0.2">
      <c r="A143" s="302"/>
      <c r="B143" s="433" t="s">
        <v>988</v>
      </c>
      <c r="C143" s="697"/>
      <c r="D143" s="436"/>
      <c r="E143" s="436"/>
      <c r="F143" s="427"/>
      <c r="G143" s="427"/>
      <c r="H143" s="427"/>
      <c r="I143" s="427"/>
      <c r="J143" s="427"/>
      <c r="K143" s="427"/>
      <c r="L143" s="427"/>
      <c r="M143" s="427"/>
      <c r="N143" s="428"/>
      <c r="O143" s="438">
        <v>5190</v>
      </c>
      <c r="P143" s="427"/>
      <c r="Q143" s="427"/>
      <c r="R143" s="454"/>
      <c r="S143" s="302"/>
      <c r="T143" s="413"/>
      <c r="U143" s="302"/>
      <c r="V143" s="302"/>
      <c r="W143" s="302"/>
      <c r="X143" s="302"/>
      <c r="Y143" s="302"/>
      <c r="Z143" s="302"/>
      <c r="AA143" s="302"/>
    </row>
    <row r="144" spans="1:27" ht="16" x14ac:dyDescent="0.2">
      <c r="A144" s="302"/>
      <c r="B144" s="433" t="s">
        <v>962</v>
      </c>
      <c r="C144" s="444"/>
      <c r="D144" s="436"/>
      <c r="E144" s="469"/>
      <c r="F144" s="427"/>
      <c r="G144" s="427"/>
      <c r="H144" s="427"/>
      <c r="I144" s="427"/>
      <c r="J144" s="427"/>
      <c r="K144" s="427"/>
      <c r="L144" s="427"/>
      <c r="M144" s="427"/>
      <c r="N144" s="428"/>
      <c r="O144" s="438">
        <f>3445*2</f>
        <v>6890</v>
      </c>
      <c r="P144" s="427"/>
      <c r="Q144" s="427"/>
      <c r="R144" s="454"/>
      <c r="S144" s="302"/>
      <c r="T144" s="413"/>
      <c r="U144" s="302"/>
      <c r="V144" s="302"/>
      <c r="W144" s="302"/>
      <c r="X144" s="302"/>
      <c r="Y144" s="302"/>
      <c r="Z144" s="302"/>
      <c r="AA144" s="302"/>
    </row>
    <row r="145" spans="1:27" ht="16" x14ac:dyDescent="0.2">
      <c r="A145" s="302"/>
      <c r="B145" s="440" t="s">
        <v>963</v>
      </c>
      <c r="C145" s="444"/>
      <c r="D145" s="436"/>
      <c r="E145" s="436"/>
      <c r="F145" s="427"/>
      <c r="G145" s="427"/>
      <c r="H145" s="427"/>
      <c r="I145" s="427"/>
      <c r="J145" s="427"/>
      <c r="K145" s="427"/>
      <c r="L145" s="427"/>
      <c r="M145" s="427"/>
      <c r="N145" s="428"/>
      <c r="O145" s="161">
        <f>O146</f>
        <v>5280</v>
      </c>
      <c r="P145" s="427"/>
      <c r="Q145" s="427"/>
      <c r="R145" s="454"/>
      <c r="S145" s="302"/>
      <c r="T145" s="413"/>
      <c r="U145" s="302"/>
      <c r="V145" s="302"/>
      <c r="W145" s="302"/>
      <c r="X145" s="302"/>
      <c r="Y145" s="302"/>
      <c r="Z145" s="302"/>
      <c r="AA145" s="302"/>
    </row>
    <row r="146" spans="1:27" ht="16" x14ac:dyDescent="0.2">
      <c r="A146" s="302"/>
      <c r="B146" s="566" t="s">
        <v>964</v>
      </c>
      <c r="C146" s="567"/>
      <c r="D146" s="568"/>
      <c r="E146" s="569"/>
      <c r="F146" s="564"/>
      <c r="G146" s="564"/>
      <c r="H146" s="564"/>
      <c r="I146" s="564"/>
      <c r="J146" s="564"/>
      <c r="K146" s="564"/>
      <c r="L146" s="564"/>
      <c r="M146" s="564"/>
      <c r="N146" s="565"/>
      <c r="O146" s="570">
        <v>5280</v>
      </c>
      <c r="P146" s="564"/>
      <c r="Q146" s="564"/>
      <c r="R146" s="571"/>
      <c r="S146" s="302"/>
      <c r="T146" s="413"/>
      <c r="U146" s="302"/>
      <c r="V146" s="302"/>
      <c r="W146" s="302"/>
      <c r="X146" s="302"/>
      <c r="Y146" s="302"/>
      <c r="Z146" s="302"/>
      <c r="AA146" s="302"/>
    </row>
    <row r="147" spans="1:27" ht="16" x14ac:dyDescent="0.2">
      <c r="A147" s="302"/>
      <c r="B147" s="584" t="s">
        <v>965</v>
      </c>
      <c r="C147" s="585"/>
      <c r="D147" s="586"/>
      <c r="E147" s="586"/>
      <c r="F147" s="586"/>
      <c r="G147" s="586"/>
      <c r="H147" s="586"/>
      <c r="I147" s="586"/>
      <c r="J147" s="586"/>
      <c r="K147" s="586"/>
      <c r="L147" s="586"/>
      <c r="M147" s="586"/>
      <c r="N147" s="587"/>
      <c r="O147" s="588">
        <f>O145+O141</f>
        <v>31320</v>
      </c>
      <c r="P147" s="586"/>
      <c r="Q147" s="586"/>
      <c r="R147" s="589"/>
      <c r="S147" s="302"/>
      <c r="T147" s="413"/>
      <c r="U147" s="302"/>
      <c r="V147" s="302"/>
      <c r="W147" s="302"/>
      <c r="X147" s="302"/>
      <c r="Y147" s="302"/>
      <c r="Z147" s="302"/>
      <c r="AA147" s="302"/>
    </row>
    <row r="148" spans="1:27" ht="16" x14ac:dyDescent="0.2">
      <c r="A148" s="302"/>
      <c r="B148" s="572" t="s">
        <v>966</v>
      </c>
      <c r="C148" s="573"/>
      <c r="D148" s="574"/>
      <c r="E148" s="574"/>
      <c r="F148" s="574"/>
      <c r="G148" s="574"/>
      <c r="H148" s="574"/>
      <c r="I148" s="574"/>
      <c r="J148" s="574"/>
      <c r="K148" s="574"/>
      <c r="L148" s="574"/>
      <c r="M148" s="574"/>
      <c r="N148" s="575"/>
      <c r="O148" s="576">
        <f>O147+O138</f>
        <v>426729.94999999995</v>
      </c>
      <c r="P148" s="574"/>
      <c r="Q148" s="574"/>
      <c r="R148" s="577"/>
      <c r="S148" s="302"/>
      <c r="T148" s="413"/>
      <c r="U148" s="302"/>
      <c r="V148" s="302"/>
      <c r="W148" s="302"/>
      <c r="X148" s="302"/>
      <c r="Y148" s="302"/>
      <c r="Z148" s="302"/>
      <c r="AA148" s="302"/>
    </row>
    <row r="149" spans="1:27" ht="16" x14ac:dyDescent="0.2">
      <c r="A149" s="302"/>
      <c r="B149" s="302"/>
      <c r="C149" s="302"/>
      <c r="D149" s="302"/>
      <c r="E149" s="302"/>
      <c r="F149" s="302"/>
      <c r="G149" s="302"/>
      <c r="H149" s="302"/>
      <c r="I149" s="302"/>
      <c r="J149" s="302"/>
      <c r="K149" s="302"/>
      <c r="L149" s="302"/>
      <c r="M149" s="302"/>
      <c r="N149" s="302"/>
      <c r="O149" s="302"/>
      <c r="P149" s="302"/>
      <c r="Q149" s="302"/>
      <c r="R149" s="302"/>
      <c r="S149" s="302"/>
      <c r="T149" s="413"/>
      <c r="U149" s="302"/>
      <c r="V149" s="302"/>
      <c r="W149" s="302"/>
      <c r="X149" s="302"/>
      <c r="Y149" s="302"/>
      <c r="Z149" s="302"/>
      <c r="AA149" s="302"/>
    </row>
    <row r="150" spans="1:27" ht="16" x14ac:dyDescent="0.2">
      <c r="A150" s="302"/>
      <c r="B150" s="302"/>
      <c r="C150" s="302"/>
      <c r="D150" s="302"/>
      <c r="E150" s="302"/>
      <c r="F150" s="302"/>
      <c r="G150" s="302"/>
      <c r="H150" s="302"/>
      <c r="I150" s="302"/>
      <c r="J150" s="302"/>
      <c r="K150" s="302"/>
      <c r="L150" s="302"/>
      <c r="M150" s="302"/>
      <c r="N150" s="302"/>
      <c r="O150" s="302"/>
      <c r="P150" s="302"/>
      <c r="Q150" s="302"/>
      <c r="R150" s="302"/>
      <c r="S150" s="302"/>
      <c r="T150" s="413"/>
      <c r="U150" s="302"/>
      <c r="V150" s="302"/>
      <c r="W150" s="302"/>
      <c r="X150" s="302"/>
      <c r="Y150" s="302"/>
      <c r="Z150" s="302"/>
      <c r="AA150" s="302"/>
    </row>
    <row r="151" spans="1:27" ht="16" x14ac:dyDescent="0.2">
      <c r="A151" s="302"/>
      <c r="B151" s="302"/>
      <c r="C151" s="302"/>
      <c r="D151" s="302"/>
      <c r="E151" s="302"/>
      <c r="F151" s="302"/>
      <c r="G151" s="302"/>
      <c r="H151" s="302"/>
      <c r="I151" s="302"/>
      <c r="J151" s="302"/>
      <c r="K151" s="302"/>
      <c r="L151" s="302"/>
      <c r="M151" s="302"/>
      <c r="N151" s="302"/>
      <c r="O151" s="302"/>
      <c r="P151" s="302"/>
      <c r="Q151" s="302"/>
      <c r="R151" s="302"/>
      <c r="S151" s="302"/>
      <c r="T151" s="413"/>
      <c r="U151" s="302"/>
      <c r="V151" s="302"/>
      <c r="W151" s="302"/>
      <c r="X151" s="302"/>
      <c r="Y151" s="302"/>
      <c r="Z151" s="302"/>
      <c r="AA151" s="302"/>
    </row>
    <row r="152" spans="1:27" ht="16" x14ac:dyDescent="0.2">
      <c r="A152" s="302"/>
      <c r="B152" s="302"/>
      <c r="C152" s="302"/>
      <c r="D152" s="302"/>
      <c r="E152" s="302"/>
      <c r="F152" s="302"/>
      <c r="G152" s="302"/>
      <c r="H152" s="302"/>
      <c r="I152" s="302"/>
      <c r="J152" s="302"/>
      <c r="K152" s="302"/>
      <c r="L152" s="302"/>
      <c r="M152" s="302"/>
      <c r="N152" s="302"/>
      <c r="O152" s="302"/>
      <c r="P152" s="302"/>
      <c r="Q152" s="302"/>
      <c r="R152" s="302"/>
      <c r="S152" s="302"/>
      <c r="T152" s="413"/>
      <c r="U152" s="302"/>
      <c r="V152" s="302"/>
      <c r="W152" s="302"/>
      <c r="X152" s="302"/>
      <c r="Y152" s="302"/>
      <c r="Z152" s="302"/>
      <c r="AA152" s="302"/>
    </row>
    <row r="153" spans="1:27" ht="16" x14ac:dyDescent="0.2">
      <c r="A153" s="302"/>
      <c r="B153" s="302"/>
      <c r="C153" s="302"/>
      <c r="D153" s="302"/>
      <c r="E153" s="302"/>
      <c r="F153" s="302"/>
      <c r="G153" s="302"/>
      <c r="H153" s="302"/>
      <c r="I153" s="302"/>
      <c r="J153" s="302"/>
      <c r="K153" s="302"/>
      <c r="L153" s="302"/>
      <c r="M153" s="302"/>
      <c r="N153" s="302"/>
      <c r="O153" s="302"/>
      <c r="P153" s="302"/>
      <c r="Q153" s="302"/>
      <c r="R153" s="302"/>
      <c r="S153" s="302"/>
      <c r="T153" s="413"/>
      <c r="U153" s="302"/>
      <c r="V153" s="302"/>
      <c r="W153" s="302"/>
      <c r="X153" s="302"/>
      <c r="Y153" s="302"/>
      <c r="Z153" s="302"/>
      <c r="AA153" s="302"/>
    </row>
    <row r="154" spans="1:27" ht="16" x14ac:dyDescent="0.2">
      <c r="A154" s="302"/>
      <c r="B154" s="302"/>
      <c r="C154" s="302"/>
      <c r="D154" s="302"/>
      <c r="E154" s="302"/>
      <c r="F154" s="302"/>
      <c r="G154" s="302"/>
      <c r="H154" s="302"/>
      <c r="I154" s="302"/>
      <c r="J154" s="302"/>
      <c r="K154" s="302"/>
      <c r="L154" s="302"/>
      <c r="M154" s="302"/>
      <c r="N154" s="302"/>
      <c r="O154" s="302"/>
      <c r="P154" s="302"/>
      <c r="Q154" s="302"/>
      <c r="R154" s="302"/>
      <c r="S154" s="302"/>
      <c r="T154" s="413"/>
      <c r="U154" s="302"/>
      <c r="V154" s="302"/>
      <c r="W154" s="302"/>
      <c r="X154" s="302"/>
      <c r="Y154" s="302"/>
      <c r="Z154" s="302"/>
      <c r="AA154" s="302"/>
    </row>
    <row r="155" spans="1:27" ht="16" x14ac:dyDescent="0.2">
      <c r="A155" s="302"/>
      <c r="B155" s="302"/>
      <c r="C155" s="302"/>
      <c r="D155" s="302"/>
      <c r="E155" s="302"/>
      <c r="F155" s="302"/>
      <c r="G155" s="302"/>
      <c r="H155" s="302"/>
      <c r="I155" s="302"/>
      <c r="J155" s="302"/>
      <c r="K155" s="302"/>
      <c r="L155" s="302"/>
      <c r="M155" s="302"/>
      <c r="N155" s="302"/>
      <c r="O155" s="302"/>
      <c r="P155" s="302"/>
      <c r="Q155" s="302"/>
      <c r="R155" s="302"/>
      <c r="S155" s="302"/>
      <c r="T155" s="413"/>
      <c r="U155" s="302"/>
      <c r="V155" s="302"/>
      <c r="W155" s="302"/>
      <c r="X155" s="302"/>
      <c r="Y155" s="302"/>
      <c r="Z155" s="302"/>
      <c r="AA155" s="302"/>
    </row>
    <row r="156" spans="1:27" ht="16" x14ac:dyDescent="0.2">
      <c r="A156" s="302"/>
      <c r="B156" s="302"/>
      <c r="C156" s="302"/>
      <c r="D156" s="302"/>
      <c r="E156" s="302"/>
      <c r="F156" s="302"/>
      <c r="G156" s="302"/>
      <c r="H156" s="302"/>
      <c r="I156" s="302"/>
      <c r="J156" s="302"/>
      <c r="K156" s="302"/>
      <c r="L156" s="302"/>
      <c r="M156" s="302"/>
      <c r="N156" s="302"/>
      <c r="O156" s="302"/>
      <c r="P156" s="302"/>
      <c r="Q156" s="302"/>
      <c r="R156" s="302"/>
      <c r="S156" s="302"/>
      <c r="T156" s="413"/>
      <c r="U156" s="302"/>
      <c r="V156" s="302"/>
      <c r="W156" s="302"/>
      <c r="X156" s="302"/>
      <c r="Y156" s="302"/>
      <c r="Z156" s="302"/>
      <c r="AA156" s="302"/>
    </row>
    <row r="157" spans="1:27" ht="16" x14ac:dyDescent="0.2">
      <c r="A157" s="302"/>
      <c r="B157" s="302"/>
      <c r="C157" s="302"/>
      <c r="D157" s="302"/>
      <c r="E157" s="302"/>
      <c r="F157" s="302"/>
      <c r="G157" s="302"/>
      <c r="H157" s="302"/>
      <c r="I157" s="302"/>
      <c r="J157" s="302"/>
      <c r="K157" s="302"/>
      <c r="L157" s="302"/>
      <c r="M157" s="302"/>
      <c r="N157" s="302"/>
      <c r="O157" s="302"/>
      <c r="P157" s="302"/>
      <c r="Q157" s="302"/>
      <c r="R157" s="302"/>
      <c r="S157" s="302"/>
      <c r="T157" s="413"/>
      <c r="U157" s="302"/>
      <c r="V157" s="302"/>
      <c r="W157" s="302"/>
      <c r="X157" s="302"/>
      <c r="Y157" s="302"/>
      <c r="Z157" s="302"/>
      <c r="AA157" s="302"/>
    </row>
    <row r="158" spans="1:27" ht="16" x14ac:dyDescent="0.2">
      <c r="A158" s="302"/>
      <c r="B158" s="302"/>
      <c r="C158" s="302"/>
      <c r="D158" s="302"/>
      <c r="E158" s="302"/>
      <c r="F158" s="302"/>
      <c r="G158" s="302"/>
      <c r="H158" s="302"/>
      <c r="I158" s="302"/>
      <c r="J158" s="302"/>
      <c r="K158" s="302"/>
      <c r="L158" s="302"/>
      <c r="M158" s="302"/>
      <c r="N158" s="302"/>
      <c r="O158" s="302"/>
      <c r="P158" s="302"/>
      <c r="Q158" s="302"/>
      <c r="R158" s="302"/>
      <c r="S158" s="302"/>
      <c r="T158" s="413"/>
      <c r="U158" s="302"/>
      <c r="V158" s="302"/>
      <c r="W158" s="302"/>
      <c r="X158" s="302"/>
      <c r="Y158" s="302"/>
      <c r="Z158" s="302"/>
      <c r="AA158" s="302"/>
    </row>
    <row r="159" spans="1:27" ht="16" x14ac:dyDescent="0.2">
      <c r="A159" s="302"/>
      <c r="B159" s="302"/>
      <c r="C159" s="302"/>
      <c r="D159" s="302"/>
      <c r="E159" s="302"/>
      <c r="F159" s="302"/>
      <c r="G159" s="302"/>
      <c r="H159" s="302"/>
      <c r="I159" s="302"/>
      <c r="J159" s="302"/>
      <c r="K159" s="302"/>
      <c r="L159" s="302"/>
      <c r="M159" s="302"/>
      <c r="N159" s="302"/>
      <c r="O159" s="302"/>
      <c r="P159" s="302"/>
      <c r="Q159" s="302"/>
      <c r="R159" s="302"/>
      <c r="S159" s="302"/>
      <c r="T159" s="413"/>
      <c r="U159" s="302"/>
      <c r="V159" s="302"/>
      <c r="W159" s="302"/>
      <c r="X159" s="302"/>
      <c r="Y159" s="302"/>
      <c r="Z159" s="302"/>
      <c r="AA159" s="302"/>
    </row>
    <row r="160" spans="1:27" ht="16" x14ac:dyDescent="0.2">
      <c r="A160" s="302"/>
      <c r="B160" s="302"/>
      <c r="C160" s="302"/>
      <c r="D160" s="302"/>
      <c r="E160" s="302"/>
      <c r="F160" s="302"/>
      <c r="G160" s="302"/>
      <c r="H160" s="302"/>
      <c r="I160" s="302"/>
      <c r="J160" s="302"/>
      <c r="K160" s="302"/>
      <c r="L160" s="302"/>
      <c r="M160" s="302"/>
      <c r="N160" s="302"/>
      <c r="O160" s="302"/>
      <c r="P160" s="302"/>
      <c r="Q160" s="302"/>
      <c r="R160" s="302"/>
      <c r="S160" s="302"/>
      <c r="T160" s="413"/>
      <c r="U160" s="302"/>
      <c r="V160" s="302"/>
      <c r="W160" s="302"/>
      <c r="X160" s="302"/>
      <c r="Y160" s="302"/>
      <c r="Z160" s="302"/>
      <c r="AA160" s="302"/>
    </row>
    <row r="161" spans="1:27" ht="16" x14ac:dyDescent="0.2">
      <c r="A161" s="302"/>
      <c r="B161" s="302"/>
      <c r="C161" s="302"/>
      <c r="D161" s="302"/>
      <c r="E161" s="302"/>
      <c r="F161" s="302"/>
      <c r="G161" s="302"/>
      <c r="H161" s="302"/>
      <c r="I161" s="302"/>
      <c r="J161" s="302"/>
      <c r="K161" s="302"/>
      <c r="L161" s="302"/>
      <c r="M161" s="302"/>
      <c r="N161" s="302"/>
      <c r="O161" s="302"/>
      <c r="P161" s="302"/>
      <c r="Q161" s="302"/>
      <c r="R161" s="302"/>
      <c r="S161" s="302"/>
      <c r="T161" s="413"/>
      <c r="U161" s="302"/>
      <c r="V161" s="302"/>
      <c r="W161" s="302"/>
      <c r="X161" s="302"/>
      <c r="Y161" s="302"/>
      <c r="Z161" s="302"/>
      <c r="AA161" s="302"/>
    </row>
    <row r="162" spans="1:27" ht="16" x14ac:dyDescent="0.2">
      <c r="A162" s="302"/>
      <c r="B162" s="302"/>
      <c r="C162" s="302"/>
      <c r="D162" s="302"/>
      <c r="E162" s="302"/>
      <c r="F162" s="302"/>
      <c r="G162" s="302"/>
      <c r="H162" s="302"/>
      <c r="I162" s="302"/>
      <c r="J162" s="302"/>
      <c r="K162" s="302"/>
      <c r="L162" s="302"/>
      <c r="M162" s="302"/>
      <c r="N162" s="302"/>
      <c r="O162" s="302"/>
      <c r="P162" s="302"/>
      <c r="Q162" s="302"/>
      <c r="R162" s="302"/>
      <c r="S162" s="302"/>
      <c r="T162" s="413"/>
      <c r="U162" s="302"/>
      <c r="V162" s="302"/>
      <c r="W162" s="302"/>
      <c r="X162" s="302"/>
      <c r="Y162" s="302"/>
      <c r="Z162" s="302"/>
      <c r="AA162" s="302"/>
    </row>
    <row r="163" spans="1:27" ht="16" x14ac:dyDescent="0.2">
      <c r="A163" s="302"/>
      <c r="B163" s="302"/>
      <c r="C163" s="302"/>
      <c r="D163" s="302"/>
      <c r="E163" s="302"/>
      <c r="F163" s="302"/>
      <c r="G163" s="302"/>
      <c r="H163" s="302"/>
      <c r="I163" s="302"/>
      <c r="J163" s="302"/>
      <c r="K163" s="302"/>
      <c r="L163" s="302"/>
      <c r="M163" s="302"/>
      <c r="N163" s="302"/>
      <c r="O163" s="302"/>
      <c r="P163" s="302"/>
      <c r="Q163" s="302"/>
      <c r="R163" s="302"/>
      <c r="S163" s="302"/>
      <c r="T163" s="413"/>
      <c r="U163" s="302"/>
      <c r="V163" s="302"/>
      <c r="W163" s="302"/>
      <c r="X163" s="302"/>
      <c r="Y163" s="302"/>
      <c r="Z163" s="302"/>
      <c r="AA163" s="302"/>
    </row>
    <row r="164" spans="1:27" ht="16" x14ac:dyDescent="0.2">
      <c r="A164" s="302"/>
      <c r="B164" s="302"/>
      <c r="C164" s="302"/>
      <c r="D164" s="302"/>
      <c r="E164" s="302"/>
      <c r="F164" s="302"/>
      <c r="G164" s="302"/>
      <c r="H164" s="302"/>
      <c r="I164" s="302"/>
      <c r="J164" s="302"/>
      <c r="K164" s="302"/>
      <c r="L164" s="302"/>
      <c r="M164" s="302"/>
      <c r="N164" s="302"/>
      <c r="O164" s="302"/>
      <c r="P164" s="302"/>
      <c r="Q164" s="302"/>
      <c r="R164" s="302"/>
      <c r="S164" s="302"/>
      <c r="T164" s="413"/>
      <c r="U164" s="302"/>
      <c r="V164" s="302"/>
      <c r="W164" s="302"/>
      <c r="X164" s="302"/>
      <c r="Y164" s="302"/>
      <c r="Z164" s="302"/>
      <c r="AA164" s="302"/>
    </row>
    <row r="165" spans="1:27" ht="16" x14ac:dyDescent="0.2">
      <c r="A165" s="302"/>
      <c r="B165" s="302"/>
      <c r="C165" s="302"/>
      <c r="D165" s="302"/>
      <c r="E165" s="302"/>
      <c r="F165" s="302"/>
      <c r="G165" s="302"/>
      <c r="H165" s="302"/>
      <c r="I165" s="302"/>
      <c r="J165" s="302"/>
      <c r="K165" s="302"/>
      <c r="L165" s="302"/>
      <c r="M165" s="302"/>
      <c r="N165" s="302"/>
      <c r="O165" s="302"/>
      <c r="P165" s="302"/>
      <c r="Q165" s="302"/>
      <c r="R165" s="302"/>
      <c r="S165" s="302"/>
      <c r="T165" s="413"/>
      <c r="U165" s="302"/>
      <c r="V165" s="302"/>
      <c r="W165" s="302"/>
      <c r="X165" s="302"/>
      <c r="Y165" s="302"/>
      <c r="Z165" s="302"/>
      <c r="AA165" s="302"/>
    </row>
    <row r="166" spans="1:27" ht="16" x14ac:dyDescent="0.2">
      <c r="A166" s="302"/>
      <c r="B166" s="302"/>
      <c r="C166" s="302"/>
      <c r="D166" s="302"/>
      <c r="E166" s="302"/>
      <c r="F166" s="302"/>
      <c r="G166" s="302"/>
      <c r="H166" s="302"/>
      <c r="I166" s="302"/>
      <c r="J166" s="302"/>
      <c r="K166" s="302"/>
      <c r="L166" s="302"/>
      <c r="M166" s="302"/>
      <c r="N166" s="302"/>
      <c r="O166" s="302"/>
      <c r="P166" s="302"/>
      <c r="Q166" s="302"/>
      <c r="R166" s="302"/>
      <c r="S166" s="302"/>
      <c r="T166" s="413"/>
      <c r="U166" s="302"/>
      <c r="V166" s="302"/>
      <c r="W166" s="302"/>
      <c r="X166" s="302"/>
      <c r="Y166" s="302"/>
      <c r="Z166" s="302"/>
      <c r="AA166" s="302"/>
    </row>
    <row r="167" spans="1:27" ht="16" x14ac:dyDescent="0.2">
      <c r="A167" s="302"/>
      <c r="B167" s="302"/>
      <c r="C167" s="302"/>
      <c r="D167" s="302"/>
      <c r="E167" s="302"/>
      <c r="F167" s="302"/>
      <c r="G167" s="302"/>
      <c r="H167" s="302"/>
      <c r="I167" s="302"/>
      <c r="J167" s="302"/>
      <c r="K167" s="302"/>
      <c r="L167" s="302"/>
      <c r="M167" s="302"/>
      <c r="N167" s="302"/>
      <c r="O167" s="302"/>
      <c r="P167" s="302"/>
      <c r="Q167" s="302"/>
      <c r="R167" s="302"/>
      <c r="S167" s="302"/>
      <c r="T167" s="413"/>
      <c r="U167" s="302"/>
      <c r="V167" s="302"/>
      <c r="W167" s="302"/>
      <c r="X167" s="302"/>
      <c r="Y167" s="302"/>
      <c r="Z167" s="302"/>
      <c r="AA167" s="302"/>
    </row>
    <row r="168" spans="1:27" ht="16" x14ac:dyDescent="0.2">
      <c r="A168" s="302"/>
      <c r="B168" s="302"/>
      <c r="C168" s="302"/>
      <c r="D168" s="302"/>
      <c r="E168" s="302"/>
      <c r="F168" s="302"/>
      <c r="G168" s="302"/>
      <c r="H168" s="302"/>
      <c r="I168" s="302"/>
      <c r="J168" s="302"/>
      <c r="K168" s="302"/>
      <c r="L168" s="302"/>
      <c r="M168" s="302"/>
      <c r="N168" s="302"/>
      <c r="O168" s="302"/>
      <c r="P168" s="302"/>
      <c r="Q168" s="302"/>
      <c r="R168" s="302"/>
      <c r="S168" s="302"/>
      <c r="T168" s="413"/>
      <c r="U168" s="302"/>
      <c r="V168" s="302"/>
      <c r="W168" s="302"/>
      <c r="X168" s="302"/>
      <c r="Y168" s="302"/>
      <c r="Z168" s="302"/>
      <c r="AA168" s="302"/>
    </row>
    <row r="169" spans="1:27" ht="16" x14ac:dyDescent="0.2">
      <c r="A169" s="302"/>
      <c r="B169" s="302"/>
      <c r="C169" s="302"/>
      <c r="D169" s="302"/>
      <c r="E169" s="302"/>
      <c r="F169" s="302"/>
      <c r="G169" s="302"/>
      <c r="H169" s="302"/>
      <c r="I169" s="302"/>
      <c r="J169" s="302"/>
      <c r="K169" s="302"/>
      <c r="L169" s="302"/>
      <c r="M169" s="302"/>
      <c r="N169" s="302"/>
      <c r="O169" s="302"/>
      <c r="P169" s="302"/>
      <c r="Q169" s="302"/>
      <c r="R169" s="302"/>
      <c r="S169" s="302"/>
      <c r="T169" s="413"/>
      <c r="U169" s="302"/>
      <c r="V169" s="302"/>
      <c r="W169" s="302"/>
      <c r="X169" s="302"/>
      <c r="Y169" s="302"/>
      <c r="Z169" s="302"/>
      <c r="AA169" s="302"/>
    </row>
    <row r="170" spans="1:27" ht="16" x14ac:dyDescent="0.2">
      <c r="A170" s="302"/>
      <c r="B170" s="302"/>
      <c r="C170" s="302"/>
      <c r="D170" s="302"/>
      <c r="E170" s="302"/>
      <c r="F170" s="302"/>
      <c r="G170" s="302"/>
      <c r="H170" s="302"/>
      <c r="I170" s="302"/>
      <c r="J170" s="302"/>
      <c r="K170" s="302"/>
      <c r="L170" s="302"/>
      <c r="M170" s="302"/>
      <c r="N170" s="302"/>
      <c r="O170" s="302"/>
      <c r="P170" s="302"/>
      <c r="Q170" s="302"/>
      <c r="R170" s="302"/>
      <c r="S170" s="302"/>
      <c r="T170" s="413"/>
      <c r="U170" s="302"/>
      <c r="V170" s="302"/>
      <c r="W170" s="302"/>
      <c r="X170" s="302"/>
      <c r="Y170" s="302"/>
      <c r="Z170" s="302"/>
      <c r="AA170" s="302"/>
    </row>
    <row r="171" spans="1:27" ht="16" x14ac:dyDescent="0.2">
      <c r="A171" s="302"/>
      <c r="B171" s="302"/>
      <c r="C171" s="302"/>
      <c r="D171" s="302"/>
      <c r="E171" s="302"/>
      <c r="F171" s="302"/>
      <c r="G171" s="302"/>
      <c r="H171" s="302"/>
      <c r="I171" s="302"/>
      <c r="J171" s="302"/>
      <c r="K171" s="302"/>
      <c r="L171" s="302"/>
      <c r="M171" s="302"/>
      <c r="N171" s="302"/>
      <c r="O171" s="302"/>
      <c r="P171" s="302"/>
      <c r="Q171" s="302"/>
      <c r="R171" s="302"/>
      <c r="S171" s="302"/>
      <c r="T171" s="413"/>
      <c r="U171" s="302"/>
      <c r="V171" s="302"/>
      <c r="W171" s="302"/>
      <c r="X171" s="302"/>
      <c r="Y171" s="302"/>
      <c r="Z171" s="302"/>
      <c r="AA171" s="302"/>
    </row>
    <row r="172" spans="1:27" ht="16" x14ac:dyDescent="0.2">
      <c r="A172" s="302"/>
      <c r="B172" s="302"/>
      <c r="C172" s="302"/>
      <c r="D172" s="302"/>
      <c r="E172" s="302"/>
      <c r="F172" s="302"/>
      <c r="G172" s="302"/>
      <c r="H172" s="302"/>
      <c r="I172" s="302"/>
      <c r="J172" s="302"/>
      <c r="K172" s="302"/>
      <c r="L172" s="302"/>
      <c r="M172" s="302"/>
      <c r="N172" s="302"/>
      <c r="O172" s="302"/>
      <c r="P172" s="302"/>
      <c r="Q172" s="302"/>
      <c r="R172" s="302"/>
      <c r="S172" s="302"/>
      <c r="T172" s="413"/>
      <c r="U172" s="302"/>
      <c r="V172" s="302"/>
      <c r="W172" s="302"/>
      <c r="X172" s="302"/>
      <c r="Y172" s="302"/>
      <c r="Z172" s="302"/>
      <c r="AA172" s="302"/>
    </row>
    <row r="173" spans="1:27" ht="16" x14ac:dyDescent="0.2">
      <c r="A173" s="302"/>
      <c r="B173" s="302"/>
      <c r="C173" s="302"/>
      <c r="D173" s="302"/>
      <c r="E173" s="302"/>
      <c r="F173" s="302"/>
      <c r="G173" s="302"/>
      <c r="H173" s="302"/>
      <c r="I173" s="302"/>
      <c r="J173" s="302"/>
      <c r="K173" s="302"/>
      <c r="L173" s="302"/>
      <c r="M173" s="302"/>
      <c r="N173" s="302"/>
      <c r="O173" s="302"/>
      <c r="P173" s="302"/>
      <c r="Q173" s="302"/>
      <c r="R173" s="302"/>
      <c r="S173" s="302"/>
      <c r="T173" s="413"/>
      <c r="U173" s="302"/>
      <c r="V173" s="302"/>
      <c r="W173" s="302"/>
      <c r="X173" s="302"/>
      <c r="Y173" s="302"/>
      <c r="Z173" s="302"/>
      <c r="AA173" s="302"/>
    </row>
    <row r="174" spans="1:27" ht="16" x14ac:dyDescent="0.2">
      <c r="A174" s="302"/>
      <c r="B174" s="302"/>
      <c r="C174" s="302"/>
      <c r="D174" s="302"/>
      <c r="E174" s="302"/>
      <c r="F174" s="302"/>
      <c r="G174" s="302"/>
      <c r="H174" s="302"/>
      <c r="I174" s="302"/>
      <c r="J174" s="302"/>
      <c r="K174" s="302"/>
      <c r="L174" s="302"/>
      <c r="M174" s="302"/>
      <c r="N174" s="302"/>
      <c r="O174" s="302"/>
      <c r="P174" s="302"/>
      <c r="Q174" s="302"/>
      <c r="R174" s="302"/>
      <c r="S174" s="302"/>
      <c r="T174" s="413"/>
      <c r="U174" s="302"/>
      <c r="V174" s="302"/>
      <c r="W174" s="302"/>
      <c r="X174" s="302"/>
      <c r="Y174" s="302"/>
      <c r="Z174" s="302"/>
      <c r="AA174" s="302"/>
    </row>
    <row r="175" spans="1:27" ht="16" x14ac:dyDescent="0.2">
      <c r="A175" s="302"/>
      <c r="B175" s="302"/>
      <c r="C175" s="302"/>
      <c r="D175" s="302"/>
      <c r="E175" s="302"/>
      <c r="F175" s="302"/>
      <c r="G175" s="302"/>
      <c r="H175" s="302"/>
      <c r="I175" s="302"/>
      <c r="J175" s="302"/>
      <c r="K175" s="302"/>
      <c r="L175" s="302"/>
      <c r="M175" s="302"/>
      <c r="N175" s="302"/>
      <c r="O175" s="302"/>
      <c r="P175" s="302"/>
      <c r="Q175" s="302"/>
      <c r="R175" s="302"/>
      <c r="S175" s="302"/>
      <c r="T175" s="413"/>
      <c r="U175" s="302"/>
      <c r="V175" s="302"/>
      <c r="W175" s="302"/>
      <c r="X175" s="302"/>
      <c r="Y175" s="302"/>
      <c r="Z175" s="302"/>
      <c r="AA175" s="302"/>
    </row>
    <row r="176" spans="1:27" ht="16" x14ac:dyDescent="0.2">
      <c r="A176" s="302"/>
      <c r="B176" s="302"/>
      <c r="C176" s="302"/>
      <c r="D176" s="302"/>
      <c r="E176" s="302"/>
      <c r="F176" s="302"/>
      <c r="G176" s="302"/>
      <c r="H176" s="302"/>
      <c r="I176" s="302"/>
      <c r="J176" s="302"/>
      <c r="K176" s="302"/>
      <c r="L176" s="302"/>
      <c r="M176" s="302"/>
      <c r="N176" s="302"/>
      <c r="O176" s="302"/>
      <c r="P176" s="302"/>
      <c r="Q176" s="302"/>
      <c r="R176" s="302"/>
      <c r="S176" s="302"/>
      <c r="T176" s="413"/>
      <c r="U176" s="302"/>
      <c r="V176" s="302"/>
      <c r="W176" s="302"/>
      <c r="X176" s="302"/>
      <c r="Y176" s="302"/>
      <c r="Z176" s="302"/>
      <c r="AA176" s="302"/>
    </row>
    <row r="177" spans="1:27" ht="16" x14ac:dyDescent="0.2">
      <c r="A177" s="302"/>
      <c r="B177" s="302"/>
      <c r="C177" s="302"/>
      <c r="D177" s="302"/>
      <c r="E177" s="302"/>
      <c r="F177" s="302"/>
      <c r="G177" s="302"/>
      <c r="H177" s="302"/>
      <c r="I177" s="302"/>
      <c r="J177" s="302"/>
      <c r="K177" s="302"/>
      <c r="L177" s="302"/>
      <c r="M177" s="302"/>
      <c r="N177" s="302"/>
      <c r="O177" s="302"/>
      <c r="P177" s="302"/>
      <c r="Q177" s="302"/>
      <c r="R177" s="302"/>
      <c r="S177" s="302"/>
      <c r="T177" s="413"/>
      <c r="U177" s="302"/>
      <c r="V177" s="302"/>
      <c r="W177" s="302"/>
      <c r="X177" s="302"/>
      <c r="Y177" s="302"/>
      <c r="Z177" s="302"/>
      <c r="AA177" s="302"/>
    </row>
    <row r="178" spans="1:27" ht="16" x14ac:dyDescent="0.2">
      <c r="A178" s="302"/>
      <c r="B178" s="302"/>
      <c r="C178" s="302"/>
      <c r="D178" s="302"/>
      <c r="E178" s="302"/>
      <c r="F178" s="302"/>
      <c r="G178" s="302"/>
      <c r="H178" s="302"/>
      <c r="I178" s="302"/>
      <c r="J178" s="302"/>
      <c r="K178" s="302"/>
      <c r="L178" s="302"/>
      <c r="M178" s="302"/>
      <c r="N178" s="302"/>
      <c r="O178" s="302"/>
      <c r="P178" s="302"/>
      <c r="Q178" s="302"/>
      <c r="R178" s="302"/>
      <c r="S178" s="302"/>
      <c r="T178" s="413"/>
      <c r="U178" s="302"/>
      <c r="V178" s="302"/>
      <c r="W178" s="302"/>
      <c r="X178" s="302"/>
      <c r="Y178" s="302"/>
      <c r="Z178" s="302"/>
      <c r="AA178" s="302"/>
    </row>
    <row r="179" spans="1:27" ht="16" x14ac:dyDescent="0.2">
      <c r="A179" s="302"/>
      <c r="B179" s="302"/>
      <c r="C179" s="302"/>
      <c r="D179" s="302"/>
      <c r="E179" s="302"/>
      <c r="F179" s="302"/>
      <c r="G179" s="302"/>
      <c r="H179" s="302"/>
      <c r="I179" s="302"/>
      <c r="J179" s="302"/>
      <c r="K179" s="302"/>
      <c r="L179" s="302"/>
      <c r="M179" s="302"/>
      <c r="N179" s="302"/>
      <c r="O179" s="302"/>
      <c r="P179" s="302"/>
      <c r="Q179" s="302"/>
      <c r="R179" s="302"/>
      <c r="S179" s="302"/>
      <c r="T179" s="413"/>
      <c r="U179" s="302"/>
      <c r="V179" s="302"/>
      <c r="W179" s="302"/>
      <c r="X179" s="302"/>
      <c r="Y179" s="302"/>
      <c r="Z179" s="302"/>
      <c r="AA179" s="302"/>
    </row>
    <row r="180" spans="1:27" ht="16" x14ac:dyDescent="0.2">
      <c r="A180" s="302"/>
      <c r="B180" s="302"/>
      <c r="C180" s="302"/>
      <c r="D180" s="302"/>
      <c r="E180" s="302"/>
      <c r="F180" s="302"/>
      <c r="G180" s="302"/>
      <c r="H180" s="302"/>
      <c r="I180" s="302"/>
      <c r="J180" s="302"/>
      <c r="K180" s="302"/>
      <c r="L180" s="302"/>
      <c r="M180" s="302"/>
      <c r="N180" s="302"/>
      <c r="O180" s="302"/>
      <c r="P180" s="302"/>
      <c r="Q180" s="302"/>
      <c r="R180" s="302"/>
      <c r="S180" s="302"/>
      <c r="T180" s="413"/>
      <c r="U180" s="302"/>
      <c r="V180" s="302"/>
      <c r="W180" s="302"/>
      <c r="X180" s="302"/>
      <c r="Y180" s="302"/>
      <c r="Z180" s="302"/>
      <c r="AA180" s="302"/>
    </row>
    <row r="181" spans="1:27" ht="16" x14ac:dyDescent="0.2">
      <c r="A181" s="302"/>
      <c r="B181" s="302"/>
      <c r="C181" s="302"/>
      <c r="D181" s="302"/>
      <c r="E181" s="302"/>
      <c r="F181" s="302"/>
      <c r="G181" s="302"/>
      <c r="H181" s="302"/>
      <c r="I181" s="302"/>
      <c r="J181" s="302"/>
      <c r="K181" s="302"/>
      <c r="L181" s="302"/>
      <c r="M181" s="302"/>
      <c r="N181" s="302"/>
      <c r="O181" s="302"/>
      <c r="P181" s="302"/>
      <c r="Q181" s="302"/>
      <c r="R181" s="302"/>
      <c r="S181" s="302"/>
      <c r="T181" s="413"/>
      <c r="U181" s="302"/>
      <c r="V181" s="302"/>
      <c r="W181" s="302"/>
      <c r="X181" s="302"/>
      <c r="Y181" s="302"/>
      <c r="Z181" s="302"/>
      <c r="AA181" s="302"/>
    </row>
    <row r="182" spans="1:27" ht="16" x14ac:dyDescent="0.2">
      <c r="A182" s="302"/>
      <c r="B182" s="302"/>
      <c r="C182" s="302"/>
      <c r="D182" s="302"/>
      <c r="E182" s="302"/>
      <c r="F182" s="302"/>
      <c r="G182" s="302"/>
      <c r="H182" s="302"/>
      <c r="I182" s="302"/>
      <c r="J182" s="302"/>
      <c r="K182" s="302"/>
      <c r="L182" s="302"/>
      <c r="M182" s="302"/>
      <c r="N182" s="302"/>
      <c r="O182" s="302"/>
      <c r="P182" s="302"/>
      <c r="Q182" s="302"/>
      <c r="R182" s="302"/>
      <c r="S182" s="302"/>
      <c r="T182" s="413"/>
      <c r="U182" s="302"/>
      <c r="V182" s="302"/>
      <c r="W182" s="302"/>
      <c r="X182" s="302"/>
      <c r="Y182" s="302"/>
      <c r="Z182" s="302"/>
      <c r="AA182" s="302"/>
    </row>
    <row r="183" spans="1:27" ht="16" x14ac:dyDescent="0.2">
      <c r="A183" s="302"/>
      <c r="B183" s="302"/>
      <c r="C183" s="302"/>
      <c r="D183" s="302"/>
      <c r="E183" s="302"/>
      <c r="F183" s="302"/>
      <c r="G183" s="302"/>
      <c r="H183" s="302"/>
      <c r="I183" s="302"/>
      <c r="J183" s="302"/>
      <c r="K183" s="302"/>
      <c r="L183" s="302"/>
      <c r="M183" s="302"/>
      <c r="N183" s="302"/>
      <c r="O183" s="302"/>
      <c r="P183" s="302"/>
      <c r="Q183" s="302"/>
      <c r="R183" s="302"/>
      <c r="S183" s="302"/>
      <c r="T183" s="413"/>
      <c r="U183" s="302"/>
      <c r="V183" s="302"/>
      <c r="W183" s="302"/>
      <c r="X183" s="302"/>
      <c r="Y183" s="302"/>
      <c r="Z183" s="302"/>
      <c r="AA183" s="302"/>
    </row>
    <row r="184" spans="1:27" ht="16" x14ac:dyDescent="0.2">
      <c r="A184" s="302"/>
      <c r="B184" s="302"/>
      <c r="C184" s="302"/>
      <c r="D184" s="302"/>
      <c r="E184" s="302"/>
      <c r="F184" s="302"/>
      <c r="G184" s="302"/>
      <c r="H184" s="302"/>
      <c r="I184" s="302"/>
      <c r="J184" s="302"/>
      <c r="K184" s="302"/>
      <c r="L184" s="302"/>
      <c r="M184" s="302"/>
      <c r="N184" s="302"/>
      <c r="O184" s="302"/>
      <c r="P184" s="302"/>
      <c r="Q184" s="302"/>
      <c r="R184" s="302"/>
      <c r="S184" s="302"/>
      <c r="T184" s="413"/>
      <c r="U184" s="302"/>
      <c r="V184" s="302"/>
      <c r="W184" s="302"/>
      <c r="X184" s="302"/>
      <c r="Y184" s="302"/>
      <c r="Z184" s="302"/>
      <c r="AA184" s="302"/>
    </row>
    <row r="185" spans="1:27" ht="16" x14ac:dyDescent="0.2">
      <c r="A185" s="302"/>
      <c r="B185" s="302"/>
      <c r="C185" s="302"/>
      <c r="D185" s="302"/>
      <c r="E185" s="302"/>
      <c r="F185" s="302"/>
      <c r="G185" s="302"/>
      <c r="H185" s="302"/>
      <c r="I185" s="302"/>
      <c r="J185" s="302"/>
      <c r="K185" s="302"/>
      <c r="L185" s="302"/>
      <c r="M185" s="302"/>
      <c r="N185" s="302"/>
      <c r="O185" s="302"/>
      <c r="P185" s="302"/>
      <c r="Q185" s="302"/>
      <c r="R185" s="302"/>
      <c r="S185" s="302"/>
      <c r="T185" s="413"/>
      <c r="U185" s="302"/>
      <c r="V185" s="302"/>
      <c r="W185" s="302"/>
      <c r="X185" s="302"/>
      <c r="Y185" s="302"/>
      <c r="Z185" s="302"/>
      <c r="AA185" s="302"/>
    </row>
    <row r="186" spans="1:27" ht="16" x14ac:dyDescent="0.2">
      <c r="A186" s="302"/>
      <c r="B186" s="302"/>
      <c r="C186" s="302"/>
      <c r="D186" s="302"/>
      <c r="E186" s="302"/>
      <c r="F186" s="302"/>
      <c r="G186" s="302"/>
      <c r="H186" s="302"/>
      <c r="I186" s="302"/>
      <c r="J186" s="302"/>
      <c r="K186" s="302"/>
      <c r="L186" s="302"/>
      <c r="M186" s="302"/>
      <c r="N186" s="302"/>
      <c r="O186" s="302"/>
      <c r="P186" s="302"/>
      <c r="Q186" s="302"/>
      <c r="R186" s="302"/>
      <c r="S186" s="302"/>
      <c r="T186" s="413"/>
      <c r="U186" s="302"/>
      <c r="V186" s="302"/>
      <c r="W186" s="302"/>
      <c r="X186" s="302"/>
      <c r="Y186" s="302"/>
      <c r="Z186" s="302"/>
      <c r="AA186" s="302"/>
    </row>
    <row r="187" spans="1:27" ht="16" x14ac:dyDescent="0.2">
      <c r="A187" s="302"/>
      <c r="B187" s="302"/>
      <c r="C187" s="302"/>
      <c r="D187" s="302"/>
      <c r="E187" s="302"/>
      <c r="F187" s="302"/>
      <c r="G187" s="302"/>
      <c r="H187" s="302"/>
      <c r="I187" s="302"/>
      <c r="J187" s="302"/>
      <c r="K187" s="302"/>
      <c r="L187" s="302"/>
      <c r="M187" s="302"/>
      <c r="N187" s="302"/>
      <c r="O187" s="302"/>
      <c r="P187" s="302"/>
      <c r="Q187" s="302"/>
      <c r="R187" s="302"/>
      <c r="S187" s="302"/>
      <c r="T187" s="413"/>
      <c r="U187" s="302"/>
      <c r="V187" s="302"/>
      <c r="W187" s="302"/>
      <c r="X187" s="302"/>
      <c r="Y187" s="302"/>
      <c r="Z187" s="302"/>
      <c r="AA187" s="302"/>
    </row>
    <row r="188" spans="1:27" ht="16" x14ac:dyDescent="0.2">
      <c r="A188" s="302"/>
      <c r="B188" s="302"/>
      <c r="C188" s="302"/>
      <c r="D188" s="302"/>
      <c r="E188" s="302"/>
      <c r="F188" s="302"/>
      <c r="G188" s="302"/>
      <c r="H188" s="302"/>
      <c r="I188" s="302"/>
      <c r="J188" s="302"/>
      <c r="K188" s="302"/>
      <c r="L188" s="302"/>
      <c r="M188" s="302"/>
      <c r="N188" s="302"/>
      <c r="O188" s="302"/>
      <c r="P188" s="302"/>
      <c r="Q188" s="302"/>
      <c r="R188" s="302"/>
      <c r="S188" s="302"/>
      <c r="T188" s="413"/>
      <c r="U188" s="302"/>
      <c r="V188" s="302"/>
      <c r="W188" s="302"/>
      <c r="X188" s="302"/>
      <c r="Y188" s="302"/>
      <c r="Z188" s="302"/>
      <c r="AA188" s="302"/>
    </row>
    <row r="189" spans="1:27" ht="16" x14ac:dyDescent="0.2">
      <c r="A189" s="302"/>
      <c r="B189" s="302"/>
      <c r="C189" s="302"/>
      <c r="D189" s="302"/>
      <c r="E189" s="302"/>
      <c r="F189" s="302"/>
      <c r="G189" s="302"/>
      <c r="H189" s="302"/>
      <c r="I189" s="302"/>
      <c r="J189" s="302"/>
      <c r="K189" s="302"/>
      <c r="L189" s="302"/>
      <c r="M189" s="302"/>
      <c r="N189" s="302"/>
      <c r="O189" s="302"/>
      <c r="P189" s="302"/>
      <c r="Q189" s="302"/>
      <c r="R189" s="302"/>
      <c r="S189" s="302"/>
      <c r="T189" s="413"/>
      <c r="U189" s="302"/>
      <c r="V189" s="302"/>
      <c r="W189" s="302"/>
      <c r="X189" s="302"/>
      <c r="Y189" s="302"/>
      <c r="Z189" s="302"/>
      <c r="AA189" s="302"/>
    </row>
    <row r="190" spans="1:27" ht="16" x14ac:dyDescent="0.2">
      <c r="A190" s="302"/>
      <c r="B190" s="302"/>
      <c r="C190" s="302"/>
      <c r="D190" s="302"/>
      <c r="E190" s="302"/>
      <c r="F190" s="302"/>
      <c r="G190" s="302"/>
      <c r="H190" s="302"/>
      <c r="I190" s="302"/>
      <c r="J190" s="302"/>
      <c r="K190" s="302"/>
      <c r="L190" s="302"/>
      <c r="M190" s="302"/>
      <c r="N190" s="302"/>
      <c r="O190" s="302"/>
      <c r="P190" s="302"/>
      <c r="Q190" s="302"/>
      <c r="R190" s="302"/>
      <c r="S190" s="302"/>
      <c r="T190" s="413"/>
      <c r="U190" s="302"/>
      <c r="V190" s="302"/>
      <c r="W190" s="302"/>
      <c r="X190" s="302"/>
      <c r="Y190" s="302"/>
      <c r="Z190" s="302"/>
      <c r="AA190" s="302"/>
    </row>
    <row r="191" spans="1:27" ht="16" x14ac:dyDescent="0.2">
      <c r="A191" s="302"/>
      <c r="B191" s="302"/>
      <c r="C191" s="302"/>
      <c r="D191" s="302"/>
      <c r="E191" s="302"/>
      <c r="F191" s="302"/>
      <c r="G191" s="302"/>
      <c r="H191" s="302"/>
      <c r="I191" s="302"/>
      <c r="J191" s="302"/>
      <c r="K191" s="302"/>
      <c r="L191" s="302"/>
      <c r="M191" s="302"/>
      <c r="N191" s="302"/>
      <c r="O191" s="302"/>
      <c r="P191" s="302"/>
      <c r="Q191" s="302"/>
      <c r="R191" s="302"/>
      <c r="S191" s="302"/>
      <c r="T191" s="413"/>
      <c r="U191" s="302"/>
      <c r="V191" s="302"/>
      <c r="W191" s="302"/>
      <c r="X191" s="302"/>
      <c r="Y191" s="302"/>
      <c r="Z191" s="302"/>
      <c r="AA191" s="302"/>
    </row>
    <row r="192" spans="1:27" ht="16" x14ac:dyDescent="0.2">
      <c r="A192" s="302"/>
      <c r="B192" s="302"/>
      <c r="C192" s="302"/>
      <c r="D192" s="302"/>
      <c r="E192" s="302"/>
      <c r="F192" s="302"/>
      <c r="G192" s="302"/>
      <c r="H192" s="302"/>
      <c r="I192" s="302"/>
      <c r="J192" s="302"/>
      <c r="K192" s="302"/>
      <c r="L192" s="302"/>
      <c r="M192" s="302"/>
      <c r="N192" s="302"/>
      <c r="O192" s="302"/>
      <c r="P192" s="302"/>
      <c r="Q192" s="302"/>
      <c r="R192" s="302"/>
      <c r="S192" s="302"/>
      <c r="T192" s="413"/>
      <c r="U192" s="302"/>
      <c r="V192" s="302"/>
      <c r="W192" s="302"/>
      <c r="X192" s="302"/>
      <c r="Y192" s="302"/>
      <c r="Z192" s="302"/>
      <c r="AA192" s="302"/>
    </row>
    <row r="193" spans="1:27" ht="16" x14ac:dyDescent="0.2">
      <c r="A193" s="302"/>
      <c r="B193" s="302"/>
      <c r="C193" s="302"/>
      <c r="D193" s="302"/>
      <c r="E193" s="302"/>
      <c r="F193" s="302"/>
      <c r="G193" s="302"/>
      <c r="H193" s="302"/>
      <c r="I193" s="302"/>
      <c r="J193" s="302"/>
      <c r="K193" s="302"/>
      <c r="L193" s="302"/>
      <c r="M193" s="302"/>
      <c r="N193" s="302"/>
      <c r="O193" s="302"/>
      <c r="P193" s="302"/>
      <c r="Q193" s="302"/>
      <c r="R193" s="302"/>
      <c r="S193" s="302"/>
      <c r="T193" s="413"/>
      <c r="U193" s="302"/>
      <c r="V193" s="302"/>
      <c r="W193" s="302"/>
      <c r="X193" s="302"/>
      <c r="Y193" s="302"/>
      <c r="Z193" s="302"/>
      <c r="AA193" s="302"/>
    </row>
    <row r="194" spans="1:27" ht="16" x14ac:dyDescent="0.2">
      <c r="A194" s="302"/>
      <c r="B194" s="302"/>
      <c r="C194" s="302"/>
      <c r="D194" s="302"/>
      <c r="E194" s="302"/>
      <c r="F194" s="302"/>
      <c r="G194" s="302"/>
      <c r="H194" s="302"/>
      <c r="I194" s="302"/>
      <c r="J194" s="302"/>
      <c r="K194" s="302"/>
      <c r="L194" s="302"/>
      <c r="M194" s="302"/>
      <c r="N194" s="302"/>
      <c r="O194" s="302"/>
      <c r="P194" s="302"/>
      <c r="Q194" s="302"/>
      <c r="R194" s="302"/>
      <c r="S194" s="302"/>
      <c r="T194" s="413"/>
      <c r="U194" s="302"/>
      <c r="V194" s="302"/>
      <c r="W194" s="302"/>
      <c r="X194" s="302"/>
      <c r="Y194" s="302"/>
      <c r="Z194" s="302"/>
      <c r="AA194" s="302"/>
    </row>
    <row r="195" spans="1:27" ht="16" x14ac:dyDescent="0.2">
      <c r="A195" s="302"/>
      <c r="B195" s="302"/>
      <c r="C195" s="302"/>
      <c r="D195" s="302"/>
      <c r="E195" s="302"/>
      <c r="F195" s="302"/>
      <c r="G195" s="302"/>
      <c r="H195" s="302"/>
      <c r="I195" s="302"/>
      <c r="J195" s="302"/>
      <c r="K195" s="302"/>
      <c r="L195" s="302"/>
      <c r="M195" s="302"/>
      <c r="N195" s="302"/>
      <c r="O195" s="302"/>
      <c r="P195" s="302"/>
      <c r="Q195" s="302"/>
      <c r="R195" s="302"/>
      <c r="S195" s="302"/>
      <c r="T195" s="413"/>
      <c r="U195" s="302"/>
      <c r="V195" s="302"/>
      <c r="W195" s="302"/>
      <c r="X195" s="302"/>
      <c r="Y195" s="302"/>
      <c r="Z195" s="302"/>
      <c r="AA195" s="302"/>
    </row>
    <row r="196" spans="1:27" ht="16" x14ac:dyDescent="0.2">
      <c r="A196" s="302"/>
      <c r="B196" s="302"/>
      <c r="C196" s="302"/>
      <c r="D196" s="302"/>
      <c r="E196" s="302"/>
      <c r="F196" s="302"/>
      <c r="G196" s="302"/>
      <c r="H196" s="302"/>
      <c r="I196" s="302"/>
      <c r="J196" s="302"/>
      <c r="K196" s="302"/>
      <c r="L196" s="302"/>
      <c r="M196" s="302"/>
      <c r="N196" s="302"/>
      <c r="O196" s="302"/>
      <c r="P196" s="302"/>
      <c r="Q196" s="302"/>
      <c r="R196" s="302"/>
      <c r="S196" s="302"/>
      <c r="T196" s="413"/>
      <c r="U196" s="302"/>
      <c r="V196" s="302"/>
      <c r="W196" s="302"/>
      <c r="X196" s="302"/>
      <c r="Y196" s="302"/>
      <c r="Z196" s="302"/>
      <c r="AA196" s="302"/>
    </row>
    <row r="197" spans="1:27" ht="16" x14ac:dyDescent="0.2">
      <c r="A197" s="302"/>
      <c r="B197" s="302"/>
      <c r="C197" s="302"/>
      <c r="D197" s="302"/>
      <c r="E197" s="302"/>
      <c r="F197" s="302"/>
      <c r="G197" s="302"/>
      <c r="H197" s="302"/>
      <c r="I197" s="302"/>
      <c r="J197" s="302"/>
      <c r="K197" s="302"/>
      <c r="L197" s="302"/>
      <c r="M197" s="302"/>
      <c r="N197" s="302"/>
      <c r="O197" s="302"/>
      <c r="P197" s="302"/>
      <c r="Q197" s="302"/>
      <c r="R197" s="302"/>
      <c r="S197" s="302"/>
      <c r="T197" s="413"/>
      <c r="U197" s="302"/>
      <c r="V197" s="302"/>
      <c r="W197" s="302"/>
      <c r="X197" s="302"/>
      <c r="Y197" s="302"/>
      <c r="Z197" s="302"/>
      <c r="AA197" s="302"/>
    </row>
    <row r="198" spans="1:27" ht="16" x14ac:dyDescent="0.2">
      <c r="A198" s="302"/>
      <c r="B198" s="302"/>
      <c r="C198" s="302"/>
      <c r="D198" s="302"/>
      <c r="E198" s="302"/>
      <c r="F198" s="302"/>
      <c r="G198" s="302"/>
      <c r="H198" s="302"/>
      <c r="I198" s="302"/>
      <c r="J198" s="302"/>
      <c r="K198" s="302"/>
      <c r="L198" s="302"/>
      <c r="M198" s="302"/>
      <c r="N198" s="302"/>
      <c r="O198" s="302"/>
      <c r="P198" s="302"/>
      <c r="Q198" s="302"/>
      <c r="R198" s="302"/>
      <c r="S198" s="302"/>
      <c r="T198" s="413"/>
      <c r="U198" s="302"/>
      <c r="V198" s="302"/>
      <c r="W198" s="302"/>
      <c r="X198" s="302"/>
      <c r="Y198" s="302"/>
      <c r="Z198" s="302"/>
      <c r="AA198" s="302"/>
    </row>
    <row r="199" spans="1:27" ht="16" x14ac:dyDescent="0.2">
      <c r="A199" s="302"/>
      <c r="B199" s="302"/>
      <c r="C199" s="302"/>
      <c r="D199" s="302"/>
      <c r="E199" s="302"/>
      <c r="F199" s="302"/>
      <c r="G199" s="302"/>
      <c r="H199" s="302"/>
      <c r="I199" s="302"/>
      <c r="J199" s="302"/>
      <c r="K199" s="302"/>
      <c r="L199" s="302"/>
      <c r="M199" s="302"/>
      <c r="N199" s="302"/>
      <c r="O199" s="302"/>
      <c r="P199" s="302"/>
      <c r="Q199" s="302"/>
      <c r="R199" s="302"/>
      <c r="S199" s="302"/>
      <c r="T199" s="413"/>
      <c r="U199" s="302"/>
      <c r="V199" s="302"/>
      <c r="W199" s="302"/>
      <c r="X199" s="302"/>
      <c r="Y199" s="302"/>
      <c r="Z199" s="302"/>
      <c r="AA199" s="302"/>
    </row>
    <row r="200" spans="1:27" ht="16" x14ac:dyDescent="0.2">
      <c r="A200" s="302"/>
      <c r="B200" s="302"/>
      <c r="C200" s="302"/>
      <c r="D200" s="302"/>
      <c r="E200" s="302"/>
      <c r="F200" s="302"/>
      <c r="G200" s="302"/>
      <c r="H200" s="302"/>
      <c r="I200" s="302"/>
      <c r="J200" s="302"/>
      <c r="K200" s="302"/>
      <c r="L200" s="302"/>
      <c r="M200" s="302"/>
      <c r="N200" s="302"/>
      <c r="O200" s="302"/>
      <c r="P200" s="302"/>
      <c r="Q200" s="302"/>
      <c r="R200" s="302"/>
      <c r="S200" s="302"/>
      <c r="T200" s="413"/>
      <c r="U200" s="302"/>
      <c r="V200" s="302"/>
      <c r="W200" s="302"/>
      <c r="X200" s="302"/>
      <c r="Y200" s="302"/>
      <c r="Z200" s="302"/>
      <c r="AA200" s="302"/>
    </row>
    <row r="201" spans="1:27" ht="16" x14ac:dyDescent="0.2">
      <c r="A201" s="302"/>
      <c r="B201" s="302"/>
      <c r="C201" s="302"/>
      <c r="D201" s="302"/>
      <c r="E201" s="302"/>
      <c r="F201" s="302"/>
      <c r="G201" s="302"/>
      <c r="H201" s="302"/>
      <c r="I201" s="302"/>
      <c r="J201" s="302"/>
      <c r="K201" s="302"/>
      <c r="L201" s="302"/>
      <c r="M201" s="302"/>
      <c r="N201" s="302"/>
      <c r="O201" s="302"/>
      <c r="P201" s="302"/>
      <c r="Q201" s="302"/>
      <c r="R201" s="302"/>
      <c r="S201" s="302"/>
      <c r="T201" s="413"/>
      <c r="U201" s="302"/>
      <c r="V201" s="302"/>
      <c r="W201" s="302"/>
      <c r="X201" s="302"/>
      <c r="Y201" s="302"/>
      <c r="Z201" s="302"/>
      <c r="AA201" s="302"/>
    </row>
    <row r="202" spans="1:27" ht="16" x14ac:dyDescent="0.2">
      <c r="A202" s="302"/>
      <c r="B202" s="302"/>
      <c r="C202" s="302"/>
      <c r="D202" s="302"/>
      <c r="E202" s="302"/>
      <c r="F202" s="302"/>
      <c r="G202" s="302"/>
      <c r="H202" s="302"/>
      <c r="I202" s="302"/>
      <c r="J202" s="302"/>
      <c r="K202" s="302"/>
      <c r="L202" s="302"/>
      <c r="M202" s="302"/>
      <c r="N202" s="302"/>
      <c r="O202" s="302"/>
      <c r="P202" s="302"/>
      <c r="Q202" s="302"/>
      <c r="R202" s="302"/>
      <c r="S202" s="302"/>
      <c r="T202" s="413"/>
      <c r="U202" s="302"/>
      <c r="V202" s="302"/>
      <c r="W202" s="302"/>
      <c r="X202" s="302"/>
      <c r="Y202" s="302"/>
      <c r="Z202" s="302"/>
      <c r="AA202" s="302"/>
    </row>
    <row r="203" spans="1:27" ht="16" x14ac:dyDescent="0.2">
      <c r="A203" s="302"/>
      <c r="B203" s="302"/>
      <c r="C203" s="302"/>
      <c r="D203" s="302"/>
      <c r="E203" s="302"/>
      <c r="F203" s="302"/>
      <c r="G203" s="302"/>
      <c r="H203" s="302"/>
      <c r="I203" s="302"/>
      <c r="J203" s="302"/>
      <c r="K203" s="302"/>
      <c r="L203" s="302"/>
      <c r="M203" s="302"/>
      <c r="N203" s="302"/>
      <c r="O203" s="302"/>
      <c r="P203" s="302"/>
      <c r="Q203" s="302"/>
      <c r="R203" s="302"/>
      <c r="S203" s="302"/>
      <c r="T203" s="413"/>
      <c r="U203" s="302"/>
      <c r="V203" s="302"/>
      <c r="W203" s="302"/>
      <c r="X203" s="302"/>
      <c r="Y203" s="302"/>
      <c r="Z203" s="302"/>
      <c r="AA203" s="302"/>
    </row>
    <row r="204" spans="1:27" ht="16" x14ac:dyDescent="0.2">
      <c r="A204" s="302"/>
      <c r="B204" s="302"/>
      <c r="C204" s="302"/>
      <c r="D204" s="302"/>
      <c r="E204" s="302"/>
      <c r="F204" s="302"/>
      <c r="G204" s="302"/>
      <c r="H204" s="302"/>
      <c r="I204" s="302"/>
      <c r="J204" s="302"/>
      <c r="K204" s="302"/>
      <c r="L204" s="302"/>
      <c r="M204" s="302"/>
      <c r="N204" s="302"/>
      <c r="O204" s="302"/>
      <c r="P204" s="302"/>
      <c r="Q204" s="302"/>
      <c r="R204" s="302"/>
      <c r="S204" s="302"/>
      <c r="T204" s="413"/>
      <c r="U204" s="302"/>
      <c r="V204" s="302"/>
      <c r="W204" s="302"/>
      <c r="X204" s="302"/>
      <c r="Y204" s="302"/>
      <c r="Z204" s="302"/>
      <c r="AA204" s="302"/>
    </row>
    <row r="205" spans="1:27" ht="16" x14ac:dyDescent="0.2">
      <c r="A205" s="302"/>
      <c r="B205" s="302"/>
      <c r="C205" s="302"/>
      <c r="D205" s="302"/>
      <c r="E205" s="302"/>
      <c r="F205" s="302"/>
      <c r="G205" s="302"/>
      <c r="H205" s="302"/>
      <c r="I205" s="302"/>
      <c r="J205" s="302"/>
      <c r="K205" s="302"/>
      <c r="L205" s="302"/>
      <c r="M205" s="302"/>
      <c r="N205" s="302"/>
      <c r="O205" s="302"/>
      <c r="P205" s="302"/>
      <c r="Q205" s="302"/>
      <c r="R205" s="302"/>
      <c r="S205" s="302"/>
      <c r="T205" s="413"/>
      <c r="U205" s="302"/>
      <c r="V205" s="302"/>
      <c r="W205" s="302"/>
      <c r="X205" s="302"/>
      <c r="Y205" s="302"/>
      <c r="Z205" s="302"/>
      <c r="AA205" s="302"/>
    </row>
    <row r="206" spans="1:27" ht="16" x14ac:dyDescent="0.2">
      <c r="A206" s="302"/>
      <c r="B206" s="302"/>
      <c r="C206" s="302"/>
      <c r="D206" s="302"/>
      <c r="E206" s="302"/>
      <c r="F206" s="302"/>
      <c r="G206" s="302"/>
      <c r="H206" s="302"/>
      <c r="I206" s="302"/>
      <c r="J206" s="302"/>
      <c r="K206" s="302"/>
      <c r="L206" s="302"/>
      <c r="M206" s="302"/>
      <c r="N206" s="302"/>
      <c r="O206" s="302"/>
      <c r="P206" s="302"/>
      <c r="Q206" s="302"/>
      <c r="R206" s="302"/>
      <c r="S206" s="302"/>
      <c r="T206" s="413"/>
      <c r="U206" s="302"/>
      <c r="V206" s="302"/>
      <c r="W206" s="302"/>
      <c r="X206" s="302"/>
      <c r="Y206" s="302"/>
      <c r="Z206" s="302"/>
      <c r="AA206" s="302"/>
    </row>
    <row r="207" spans="1:27" ht="16" x14ac:dyDescent="0.2">
      <c r="A207" s="302"/>
      <c r="B207" s="302"/>
      <c r="C207" s="302"/>
      <c r="D207" s="302"/>
      <c r="E207" s="302"/>
      <c r="F207" s="302"/>
      <c r="G207" s="302"/>
      <c r="H207" s="302"/>
      <c r="I207" s="302"/>
      <c r="J207" s="302"/>
      <c r="K207" s="302"/>
      <c r="L207" s="302"/>
      <c r="M207" s="302"/>
      <c r="N207" s="302"/>
      <c r="O207" s="302"/>
      <c r="P207" s="302"/>
      <c r="Q207" s="302"/>
      <c r="R207" s="302"/>
      <c r="S207" s="302"/>
      <c r="T207" s="413"/>
      <c r="U207" s="302"/>
      <c r="V207" s="302"/>
      <c r="W207" s="302"/>
      <c r="X207" s="302"/>
      <c r="Y207" s="302"/>
      <c r="Z207" s="302"/>
      <c r="AA207" s="302"/>
    </row>
    <row r="208" spans="1:27" ht="16" x14ac:dyDescent="0.2">
      <c r="A208" s="302"/>
      <c r="B208" s="302"/>
      <c r="C208" s="302"/>
      <c r="D208" s="302"/>
      <c r="E208" s="302"/>
      <c r="F208" s="302"/>
      <c r="G208" s="302"/>
      <c r="H208" s="302"/>
      <c r="I208" s="302"/>
      <c r="J208" s="302"/>
      <c r="K208" s="302"/>
      <c r="L208" s="302"/>
      <c r="M208" s="302"/>
      <c r="N208" s="302"/>
      <c r="O208" s="302"/>
      <c r="P208" s="302"/>
      <c r="Q208" s="302"/>
      <c r="R208" s="302"/>
      <c r="S208" s="302"/>
      <c r="T208" s="413"/>
      <c r="U208" s="302"/>
      <c r="V208" s="302"/>
      <c r="W208" s="302"/>
      <c r="X208" s="302"/>
      <c r="Y208" s="302"/>
      <c r="Z208" s="302"/>
      <c r="AA208" s="302"/>
    </row>
    <row r="209" spans="1:27" ht="16" x14ac:dyDescent="0.2">
      <c r="A209" s="302"/>
      <c r="B209" s="302"/>
      <c r="C209" s="302"/>
      <c r="D209" s="302"/>
      <c r="E209" s="302"/>
      <c r="F209" s="302"/>
      <c r="G209" s="302"/>
      <c r="H209" s="302"/>
      <c r="I209" s="302"/>
      <c r="J209" s="302"/>
      <c r="K209" s="302"/>
      <c r="L209" s="302"/>
      <c r="M209" s="302"/>
      <c r="N209" s="302"/>
      <c r="O209" s="302"/>
      <c r="P209" s="302"/>
      <c r="Q209" s="302"/>
      <c r="R209" s="302"/>
      <c r="S209" s="302"/>
      <c r="T209" s="413"/>
      <c r="U209" s="302"/>
      <c r="V209" s="302"/>
      <c r="W209" s="302"/>
      <c r="X209" s="302"/>
      <c r="Y209" s="302"/>
      <c r="Z209" s="302"/>
      <c r="AA209" s="302"/>
    </row>
    <row r="210" spans="1:27" ht="16" x14ac:dyDescent="0.2">
      <c r="A210" s="302"/>
      <c r="B210" s="302"/>
      <c r="C210" s="302"/>
      <c r="D210" s="302"/>
      <c r="E210" s="302"/>
      <c r="F210" s="302"/>
      <c r="G210" s="302"/>
      <c r="H210" s="302"/>
      <c r="I210" s="302"/>
      <c r="J210" s="302"/>
      <c r="K210" s="302"/>
      <c r="L210" s="302"/>
      <c r="M210" s="302"/>
      <c r="N210" s="302"/>
      <c r="O210" s="302"/>
      <c r="P210" s="302"/>
      <c r="Q210" s="302"/>
      <c r="R210" s="302"/>
      <c r="S210" s="302"/>
      <c r="T210" s="413"/>
      <c r="U210" s="302"/>
      <c r="V210" s="302"/>
      <c r="W210" s="302"/>
      <c r="X210" s="302"/>
      <c r="Y210" s="302"/>
      <c r="Z210" s="302"/>
      <c r="AA210" s="302"/>
    </row>
    <row r="211" spans="1:27" ht="16" x14ac:dyDescent="0.2">
      <c r="A211" s="302"/>
      <c r="B211" s="302"/>
      <c r="C211" s="302"/>
      <c r="D211" s="302"/>
      <c r="E211" s="302"/>
      <c r="F211" s="302"/>
      <c r="G211" s="302"/>
      <c r="H211" s="302"/>
      <c r="I211" s="302"/>
      <c r="J211" s="302"/>
      <c r="K211" s="302"/>
      <c r="L211" s="302"/>
      <c r="M211" s="302"/>
      <c r="N211" s="302"/>
      <c r="O211" s="302"/>
      <c r="P211" s="302"/>
      <c r="Q211" s="302"/>
      <c r="R211" s="302"/>
      <c r="S211" s="302"/>
      <c r="T211" s="413"/>
      <c r="U211" s="302"/>
      <c r="V211" s="302"/>
      <c r="W211" s="302"/>
      <c r="X211" s="302"/>
      <c r="Y211" s="302"/>
      <c r="Z211" s="302"/>
      <c r="AA211" s="302"/>
    </row>
    <row r="212" spans="1:27" ht="16" x14ac:dyDescent="0.2">
      <c r="A212" s="302"/>
      <c r="B212" s="302"/>
      <c r="C212" s="302"/>
      <c r="D212" s="302"/>
      <c r="E212" s="302"/>
      <c r="F212" s="302"/>
      <c r="G212" s="302"/>
      <c r="H212" s="302"/>
      <c r="I212" s="302"/>
      <c r="J212" s="302"/>
      <c r="K212" s="302"/>
      <c r="L212" s="302"/>
      <c r="M212" s="302"/>
      <c r="N212" s="302"/>
      <c r="O212" s="302"/>
      <c r="P212" s="302"/>
      <c r="Q212" s="302"/>
      <c r="R212" s="302"/>
      <c r="S212" s="302"/>
      <c r="T212" s="413"/>
      <c r="U212" s="302"/>
      <c r="V212" s="302"/>
      <c r="W212" s="302"/>
      <c r="X212" s="302"/>
      <c r="Y212" s="302"/>
      <c r="Z212" s="302"/>
      <c r="AA212" s="302"/>
    </row>
    <row r="213" spans="1:27" ht="16" x14ac:dyDescent="0.2">
      <c r="A213" s="302"/>
      <c r="B213" s="302"/>
      <c r="C213" s="302"/>
      <c r="D213" s="302"/>
      <c r="E213" s="302"/>
      <c r="F213" s="302"/>
      <c r="G213" s="302"/>
      <c r="H213" s="302"/>
      <c r="I213" s="302"/>
      <c r="J213" s="302"/>
      <c r="K213" s="302"/>
      <c r="L213" s="302"/>
      <c r="M213" s="302"/>
      <c r="N213" s="302"/>
      <c r="O213" s="302"/>
      <c r="P213" s="302"/>
      <c r="Q213" s="302"/>
      <c r="R213" s="302"/>
      <c r="S213" s="302"/>
      <c r="T213" s="413"/>
      <c r="U213" s="302"/>
      <c r="V213" s="302"/>
      <c r="W213" s="302"/>
      <c r="X213" s="302"/>
      <c r="Y213" s="302"/>
      <c r="Z213" s="302"/>
      <c r="AA213" s="302"/>
    </row>
    <row r="214" spans="1:27" ht="16" x14ac:dyDescent="0.2">
      <c r="A214" s="302"/>
      <c r="B214" s="302"/>
      <c r="C214" s="302"/>
      <c r="D214" s="302"/>
      <c r="E214" s="302"/>
      <c r="F214" s="302"/>
      <c r="G214" s="302"/>
      <c r="H214" s="302"/>
      <c r="I214" s="302"/>
      <c r="J214" s="302"/>
      <c r="K214" s="302"/>
      <c r="L214" s="302"/>
      <c r="M214" s="302"/>
      <c r="N214" s="302"/>
      <c r="O214" s="302"/>
      <c r="P214" s="302"/>
      <c r="Q214" s="302"/>
      <c r="R214" s="302"/>
      <c r="S214" s="302"/>
      <c r="T214" s="413"/>
      <c r="U214" s="302"/>
      <c r="V214" s="302"/>
      <c r="W214" s="302"/>
      <c r="X214" s="302"/>
      <c r="Y214" s="302"/>
      <c r="Z214" s="302"/>
      <c r="AA214" s="302"/>
    </row>
    <row r="215" spans="1:27" ht="16" x14ac:dyDescent="0.2">
      <c r="A215" s="302"/>
      <c r="B215" s="302"/>
      <c r="C215" s="302"/>
      <c r="D215" s="302"/>
      <c r="E215" s="302"/>
      <c r="F215" s="302"/>
      <c r="G215" s="302"/>
      <c r="H215" s="302"/>
      <c r="I215" s="302"/>
      <c r="J215" s="302"/>
      <c r="K215" s="302"/>
      <c r="L215" s="302"/>
      <c r="M215" s="302"/>
      <c r="N215" s="302"/>
      <c r="O215" s="302"/>
      <c r="P215" s="302"/>
      <c r="Q215" s="302"/>
      <c r="R215" s="302"/>
      <c r="S215" s="302"/>
      <c r="T215" s="413"/>
      <c r="U215" s="302"/>
      <c r="V215" s="302"/>
      <c r="W215" s="302"/>
      <c r="X215" s="302"/>
      <c r="Y215" s="302"/>
      <c r="Z215" s="302"/>
      <c r="AA215" s="302"/>
    </row>
    <row r="216" spans="1:27" ht="16" x14ac:dyDescent="0.2">
      <c r="A216" s="302"/>
      <c r="B216" s="302"/>
      <c r="C216" s="302"/>
      <c r="D216" s="302"/>
      <c r="E216" s="302"/>
      <c r="F216" s="302"/>
      <c r="G216" s="302"/>
      <c r="H216" s="302"/>
      <c r="I216" s="302"/>
      <c r="J216" s="302"/>
      <c r="K216" s="302"/>
      <c r="L216" s="302"/>
      <c r="M216" s="302"/>
      <c r="N216" s="302"/>
      <c r="O216" s="302"/>
      <c r="P216" s="302"/>
      <c r="Q216" s="302"/>
      <c r="R216" s="302"/>
      <c r="S216" s="302"/>
      <c r="T216" s="413"/>
      <c r="U216" s="302"/>
      <c r="V216" s="302"/>
      <c r="W216" s="302"/>
      <c r="X216" s="302"/>
      <c r="Y216" s="302"/>
      <c r="Z216" s="302"/>
      <c r="AA216" s="302"/>
    </row>
    <row r="217" spans="1:27" ht="16" x14ac:dyDescent="0.2">
      <c r="A217" s="302"/>
      <c r="B217" s="302"/>
      <c r="C217" s="302"/>
      <c r="D217" s="302"/>
      <c r="E217" s="302"/>
      <c r="F217" s="302"/>
      <c r="G217" s="302"/>
      <c r="H217" s="302"/>
      <c r="I217" s="302"/>
      <c r="J217" s="302"/>
      <c r="K217" s="302"/>
      <c r="L217" s="302"/>
      <c r="M217" s="302"/>
      <c r="N217" s="302"/>
      <c r="O217" s="302"/>
      <c r="P217" s="302"/>
      <c r="Q217" s="302"/>
      <c r="R217" s="302"/>
      <c r="S217" s="302"/>
      <c r="T217" s="413"/>
      <c r="U217" s="302"/>
      <c r="V217" s="302"/>
      <c r="W217" s="302"/>
      <c r="X217" s="302"/>
      <c r="Y217" s="302"/>
      <c r="Z217" s="302"/>
      <c r="AA217" s="302"/>
    </row>
    <row r="218" spans="1:27" ht="16" x14ac:dyDescent="0.2">
      <c r="A218" s="302"/>
      <c r="B218" s="302"/>
      <c r="C218" s="302"/>
      <c r="D218" s="302"/>
      <c r="E218" s="302"/>
      <c r="F218" s="302"/>
      <c r="G218" s="302"/>
      <c r="H218" s="302"/>
      <c r="I218" s="302"/>
      <c r="J218" s="302"/>
      <c r="K218" s="302"/>
      <c r="L218" s="302"/>
      <c r="M218" s="302"/>
      <c r="N218" s="302"/>
      <c r="O218" s="302"/>
      <c r="P218" s="302"/>
      <c r="Q218" s="302"/>
      <c r="R218" s="302"/>
      <c r="S218" s="302"/>
      <c r="T218" s="413"/>
      <c r="U218" s="302"/>
      <c r="V218" s="302"/>
      <c r="W218" s="302"/>
      <c r="X218" s="302"/>
      <c r="Y218" s="302"/>
      <c r="Z218" s="302"/>
      <c r="AA218" s="302"/>
    </row>
    <row r="219" spans="1:27" ht="16" x14ac:dyDescent="0.2">
      <c r="A219" s="302"/>
      <c r="B219" s="302"/>
      <c r="C219" s="302"/>
      <c r="D219" s="302"/>
      <c r="E219" s="302"/>
      <c r="F219" s="302"/>
      <c r="G219" s="302"/>
      <c r="H219" s="302"/>
      <c r="I219" s="302"/>
      <c r="J219" s="302"/>
      <c r="K219" s="302"/>
      <c r="L219" s="302"/>
      <c r="M219" s="302"/>
      <c r="N219" s="302"/>
      <c r="O219" s="302"/>
      <c r="P219" s="302"/>
      <c r="Q219" s="302"/>
      <c r="R219" s="302"/>
      <c r="S219" s="302"/>
      <c r="T219" s="413"/>
      <c r="U219" s="302"/>
      <c r="V219" s="302"/>
      <c r="W219" s="302"/>
      <c r="X219" s="302"/>
      <c r="Y219" s="302"/>
      <c r="Z219" s="302"/>
      <c r="AA219" s="302"/>
    </row>
    <row r="220" spans="1:27" ht="16" x14ac:dyDescent="0.2">
      <c r="A220" s="302"/>
      <c r="B220" s="302"/>
      <c r="C220" s="302"/>
      <c r="D220" s="302"/>
      <c r="E220" s="302"/>
      <c r="F220" s="302"/>
      <c r="G220" s="302"/>
      <c r="H220" s="302"/>
      <c r="I220" s="302"/>
      <c r="J220" s="302"/>
      <c r="K220" s="302"/>
      <c r="L220" s="302"/>
      <c r="M220" s="302"/>
      <c r="N220" s="302"/>
      <c r="O220" s="302"/>
      <c r="P220" s="302"/>
      <c r="Q220" s="302"/>
      <c r="R220" s="302"/>
      <c r="S220" s="302"/>
      <c r="T220" s="413"/>
      <c r="U220" s="302"/>
      <c r="V220" s="302"/>
      <c r="W220" s="302"/>
      <c r="X220" s="302"/>
      <c r="Y220" s="302"/>
      <c r="Z220" s="302"/>
      <c r="AA220" s="302"/>
    </row>
    <row r="221" spans="1:27" ht="16" x14ac:dyDescent="0.2">
      <c r="A221" s="302"/>
      <c r="B221" s="302"/>
      <c r="C221" s="302"/>
      <c r="D221" s="302"/>
      <c r="E221" s="302"/>
      <c r="F221" s="302"/>
      <c r="G221" s="302"/>
      <c r="H221" s="302"/>
      <c r="I221" s="302"/>
      <c r="J221" s="302"/>
      <c r="K221" s="302"/>
      <c r="L221" s="302"/>
      <c r="M221" s="302"/>
      <c r="N221" s="302"/>
      <c r="O221" s="302"/>
      <c r="P221" s="302"/>
      <c r="Q221" s="302"/>
      <c r="R221" s="302"/>
      <c r="S221" s="302"/>
      <c r="T221" s="413"/>
      <c r="U221" s="302"/>
      <c r="V221" s="302"/>
      <c r="W221" s="302"/>
      <c r="X221" s="302"/>
      <c r="Y221" s="302"/>
      <c r="Z221" s="302"/>
      <c r="AA221" s="302"/>
    </row>
    <row r="222" spans="1:27" ht="16" x14ac:dyDescent="0.2">
      <c r="A222" s="302"/>
      <c r="B222" s="302"/>
      <c r="C222" s="302"/>
      <c r="D222" s="302"/>
      <c r="E222" s="302"/>
      <c r="F222" s="302"/>
      <c r="G222" s="302"/>
      <c r="H222" s="302"/>
      <c r="I222" s="302"/>
      <c r="J222" s="302"/>
      <c r="K222" s="302"/>
      <c r="L222" s="302"/>
      <c r="M222" s="302"/>
      <c r="N222" s="302"/>
      <c r="O222" s="302"/>
      <c r="P222" s="302"/>
      <c r="Q222" s="302"/>
      <c r="R222" s="302"/>
      <c r="S222" s="302"/>
      <c r="T222" s="413"/>
      <c r="U222" s="302"/>
      <c r="V222" s="302"/>
      <c r="W222" s="302"/>
      <c r="X222" s="302"/>
      <c r="Y222" s="302"/>
      <c r="Z222" s="302"/>
      <c r="AA222" s="302"/>
    </row>
    <row r="223" spans="1:27" ht="16" x14ac:dyDescent="0.2">
      <c r="A223" s="302"/>
      <c r="B223" s="302"/>
      <c r="C223" s="302"/>
      <c r="D223" s="302"/>
      <c r="E223" s="302"/>
      <c r="F223" s="302"/>
      <c r="G223" s="302"/>
      <c r="H223" s="302"/>
      <c r="I223" s="302"/>
      <c r="J223" s="302"/>
      <c r="K223" s="302"/>
      <c r="L223" s="302"/>
      <c r="M223" s="302"/>
      <c r="N223" s="302"/>
      <c r="O223" s="302"/>
      <c r="P223" s="302"/>
      <c r="Q223" s="302"/>
      <c r="R223" s="302"/>
      <c r="S223" s="302"/>
      <c r="T223" s="413"/>
      <c r="U223" s="302"/>
      <c r="V223" s="302"/>
      <c r="W223" s="302"/>
      <c r="X223" s="302"/>
      <c r="Y223" s="302"/>
      <c r="Z223" s="302"/>
      <c r="AA223" s="302"/>
    </row>
    <row r="224" spans="1:27" ht="16" x14ac:dyDescent="0.2">
      <c r="A224" s="302"/>
      <c r="B224" s="302"/>
      <c r="C224" s="302"/>
      <c r="D224" s="302"/>
      <c r="E224" s="302"/>
      <c r="F224" s="302"/>
      <c r="G224" s="302"/>
      <c r="H224" s="302"/>
      <c r="I224" s="302"/>
      <c r="J224" s="302"/>
      <c r="K224" s="302"/>
      <c r="L224" s="302"/>
      <c r="M224" s="302"/>
      <c r="N224" s="302"/>
      <c r="O224" s="302"/>
      <c r="P224" s="302"/>
      <c r="Q224" s="302"/>
      <c r="R224" s="302"/>
      <c r="S224" s="302"/>
      <c r="T224" s="413"/>
      <c r="U224" s="302"/>
      <c r="V224" s="302"/>
      <c r="W224" s="302"/>
      <c r="X224" s="302"/>
      <c r="Y224" s="302"/>
      <c r="Z224" s="302"/>
      <c r="AA224" s="302"/>
    </row>
    <row r="225" spans="1:27" ht="16" x14ac:dyDescent="0.2">
      <c r="A225" s="302"/>
      <c r="B225" s="302"/>
      <c r="C225" s="302"/>
      <c r="D225" s="302"/>
      <c r="E225" s="302"/>
      <c r="F225" s="302"/>
      <c r="G225" s="302"/>
      <c r="H225" s="302"/>
      <c r="I225" s="302"/>
      <c r="J225" s="302"/>
      <c r="K225" s="302"/>
      <c r="L225" s="302"/>
      <c r="M225" s="302"/>
      <c r="N225" s="302"/>
      <c r="O225" s="302"/>
      <c r="P225" s="302"/>
      <c r="Q225" s="302"/>
      <c r="R225" s="302"/>
      <c r="S225" s="302"/>
      <c r="T225" s="413"/>
      <c r="U225" s="302"/>
      <c r="V225" s="302"/>
      <c r="W225" s="302"/>
      <c r="X225" s="302"/>
      <c r="Y225" s="302"/>
      <c r="Z225" s="302"/>
      <c r="AA225" s="302"/>
    </row>
    <row r="226" spans="1:27" ht="16" x14ac:dyDescent="0.2">
      <c r="A226" s="302"/>
      <c r="B226" s="302"/>
      <c r="C226" s="302"/>
      <c r="D226" s="302"/>
      <c r="E226" s="302"/>
      <c r="F226" s="302"/>
      <c r="G226" s="302"/>
      <c r="H226" s="302"/>
      <c r="I226" s="302"/>
      <c r="J226" s="302"/>
      <c r="K226" s="302"/>
      <c r="L226" s="302"/>
      <c r="M226" s="302"/>
      <c r="N226" s="302"/>
      <c r="O226" s="302"/>
      <c r="P226" s="302"/>
      <c r="Q226" s="302"/>
      <c r="R226" s="302"/>
      <c r="S226" s="302"/>
      <c r="T226" s="413"/>
      <c r="U226" s="302"/>
      <c r="V226" s="302"/>
      <c r="W226" s="302"/>
      <c r="X226" s="302"/>
      <c r="Y226" s="302"/>
      <c r="Z226" s="302"/>
      <c r="AA226" s="302"/>
    </row>
    <row r="227" spans="1:27" ht="16" x14ac:dyDescent="0.2">
      <c r="A227" s="302"/>
      <c r="B227" s="302"/>
      <c r="C227" s="302"/>
      <c r="D227" s="302"/>
      <c r="E227" s="302"/>
      <c r="F227" s="302"/>
      <c r="G227" s="302"/>
      <c r="H227" s="302"/>
      <c r="I227" s="302"/>
      <c r="J227" s="302"/>
      <c r="K227" s="302"/>
      <c r="L227" s="302"/>
      <c r="M227" s="302"/>
      <c r="N227" s="302"/>
      <c r="O227" s="302"/>
      <c r="P227" s="302"/>
      <c r="Q227" s="302"/>
      <c r="R227" s="302"/>
      <c r="S227" s="302"/>
      <c r="T227" s="413"/>
      <c r="U227" s="302"/>
      <c r="V227" s="302"/>
      <c r="W227" s="302"/>
      <c r="X227" s="302"/>
      <c r="Y227" s="302"/>
      <c r="Z227" s="302"/>
      <c r="AA227" s="302"/>
    </row>
    <row r="228" spans="1:27" ht="16" x14ac:dyDescent="0.2">
      <c r="A228" s="302"/>
      <c r="B228" s="302"/>
      <c r="C228" s="302"/>
      <c r="D228" s="302"/>
      <c r="E228" s="302"/>
      <c r="F228" s="302"/>
      <c r="G228" s="302"/>
      <c r="H228" s="302"/>
      <c r="I228" s="302"/>
      <c r="J228" s="302"/>
      <c r="K228" s="302"/>
      <c r="L228" s="302"/>
      <c r="M228" s="302"/>
      <c r="N228" s="302"/>
      <c r="O228" s="302"/>
      <c r="P228" s="302"/>
      <c r="Q228" s="302"/>
      <c r="R228" s="302"/>
      <c r="S228" s="302"/>
      <c r="T228" s="413"/>
      <c r="U228" s="302"/>
      <c r="V228" s="302"/>
      <c r="W228" s="302"/>
      <c r="X228" s="302"/>
      <c r="Y228" s="302"/>
      <c r="Z228" s="302"/>
      <c r="AA228" s="302"/>
    </row>
    <row r="229" spans="1:27" ht="16" x14ac:dyDescent="0.2">
      <c r="A229" s="302"/>
      <c r="B229" s="302"/>
      <c r="C229" s="302"/>
      <c r="D229" s="302"/>
      <c r="E229" s="302"/>
      <c r="F229" s="302"/>
      <c r="G229" s="302"/>
      <c r="H229" s="302"/>
      <c r="I229" s="302"/>
      <c r="J229" s="302"/>
      <c r="K229" s="302"/>
      <c r="L229" s="302"/>
      <c r="M229" s="302"/>
      <c r="N229" s="302"/>
      <c r="O229" s="302"/>
      <c r="P229" s="302"/>
      <c r="Q229" s="302"/>
      <c r="R229" s="302"/>
      <c r="S229" s="302"/>
      <c r="T229" s="413"/>
      <c r="U229" s="302"/>
      <c r="V229" s="302"/>
      <c r="W229" s="302"/>
      <c r="X229" s="302"/>
      <c r="Y229" s="302"/>
      <c r="Z229" s="302"/>
      <c r="AA229" s="302"/>
    </row>
    <row r="230" spans="1:27" ht="16" x14ac:dyDescent="0.2">
      <c r="A230" s="302"/>
      <c r="B230" s="302"/>
      <c r="C230" s="302"/>
      <c r="D230" s="302"/>
      <c r="E230" s="302"/>
      <c r="F230" s="302"/>
      <c r="G230" s="302"/>
      <c r="H230" s="302"/>
      <c r="I230" s="302"/>
      <c r="J230" s="302"/>
      <c r="K230" s="302"/>
      <c r="L230" s="302"/>
      <c r="M230" s="302"/>
      <c r="N230" s="302"/>
      <c r="O230" s="302"/>
      <c r="P230" s="302"/>
      <c r="Q230" s="302"/>
      <c r="R230" s="302"/>
      <c r="S230" s="302"/>
      <c r="T230" s="413"/>
      <c r="U230" s="302"/>
      <c r="V230" s="302"/>
      <c r="W230" s="302"/>
      <c r="X230" s="302"/>
      <c r="Y230" s="302"/>
      <c r="Z230" s="302"/>
      <c r="AA230" s="302"/>
    </row>
    <row r="231" spans="1:27" ht="16" x14ac:dyDescent="0.2">
      <c r="A231" s="302"/>
      <c r="B231" s="302"/>
      <c r="C231" s="302"/>
      <c r="D231" s="302"/>
      <c r="E231" s="302"/>
      <c r="F231" s="302"/>
      <c r="G231" s="302"/>
      <c r="H231" s="302"/>
      <c r="I231" s="302"/>
      <c r="J231" s="302"/>
      <c r="K231" s="302"/>
      <c r="L231" s="302"/>
      <c r="M231" s="302"/>
      <c r="N231" s="302"/>
      <c r="O231" s="302"/>
      <c r="P231" s="302"/>
      <c r="Q231" s="302"/>
      <c r="R231" s="302"/>
      <c r="S231" s="302"/>
      <c r="T231" s="413"/>
      <c r="U231" s="302"/>
      <c r="V231" s="302"/>
      <c r="W231" s="302"/>
      <c r="X231" s="302"/>
      <c r="Y231" s="302"/>
      <c r="Z231" s="302"/>
      <c r="AA231" s="302"/>
    </row>
    <row r="232" spans="1:27" ht="16" x14ac:dyDescent="0.2">
      <c r="A232" s="302"/>
      <c r="B232" s="302"/>
      <c r="C232" s="302"/>
      <c r="D232" s="302"/>
      <c r="E232" s="302"/>
      <c r="F232" s="302"/>
      <c r="G232" s="302"/>
      <c r="H232" s="302"/>
      <c r="I232" s="302"/>
      <c r="J232" s="302"/>
      <c r="K232" s="302"/>
      <c r="L232" s="302"/>
      <c r="M232" s="302"/>
      <c r="N232" s="302"/>
      <c r="O232" s="302"/>
      <c r="P232" s="302"/>
      <c r="Q232" s="302"/>
      <c r="R232" s="302"/>
      <c r="S232" s="302"/>
      <c r="T232" s="413"/>
      <c r="U232" s="302"/>
      <c r="V232" s="302"/>
      <c r="W232" s="302"/>
      <c r="X232" s="302"/>
      <c r="Y232" s="302"/>
      <c r="Z232" s="302"/>
      <c r="AA232" s="302"/>
    </row>
    <row r="233" spans="1:27" ht="16" x14ac:dyDescent="0.2">
      <c r="A233" s="302"/>
      <c r="B233" s="302"/>
      <c r="C233" s="302"/>
      <c r="D233" s="302"/>
      <c r="E233" s="302"/>
      <c r="F233" s="302"/>
      <c r="G233" s="302"/>
      <c r="H233" s="302"/>
      <c r="I233" s="302"/>
      <c r="J233" s="302"/>
      <c r="K233" s="302"/>
      <c r="L233" s="302"/>
      <c r="M233" s="302"/>
      <c r="N233" s="302"/>
      <c r="O233" s="302"/>
      <c r="P233" s="302"/>
      <c r="Q233" s="302"/>
      <c r="R233" s="302"/>
      <c r="S233" s="302"/>
      <c r="T233" s="413"/>
      <c r="U233" s="302"/>
      <c r="V233" s="302"/>
      <c r="W233" s="302"/>
      <c r="X233" s="302"/>
      <c r="Y233" s="302"/>
      <c r="Z233" s="302"/>
      <c r="AA233" s="302"/>
    </row>
    <row r="234" spans="1:27" ht="16" x14ac:dyDescent="0.2">
      <c r="A234" s="302"/>
      <c r="B234" s="302"/>
      <c r="C234" s="302"/>
      <c r="D234" s="302"/>
      <c r="E234" s="302"/>
      <c r="F234" s="302"/>
      <c r="G234" s="302"/>
      <c r="H234" s="302"/>
      <c r="I234" s="302"/>
      <c r="J234" s="302"/>
      <c r="K234" s="302"/>
      <c r="L234" s="302"/>
      <c r="M234" s="302"/>
      <c r="N234" s="302"/>
      <c r="O234" s="302"/>
      <c r="P234" s="302"/>
      <c r="Q234" s="302"/>
      <c r="R234" s="302"/>
      <c r="S234" s="302"/>
      <c r="T234" s="413"/>
      <c r="U234" s="302"/>
      <c r="V234" s="302"/>
      <c r="W234" s="302"/>
      <c r="X234" s="302"/>
      <c r="Y234" s="302"/>
      <c r="Z234" s="302"/>
      <c r="AA234" s="302"/>
    </row>
    <row r="235" spans="1:27" ht="16" x14ac:dyDescent="0.2">
      <c r="A235" s="302"/>
      <c r="B235" s="302"/>
      <c r="C235" s="302"/>
      <c r="D235" s="302"/>
      <c r="E235" s="302"/>
      <c r="F235" s="302"/>
      <c r="G235" s="302"/>
      <c r="H235" s="302"/>
      <c r="I235" s="302"/>
      <c r="J235" s="302"/>
      <c r="K235" s="302"/>
      <c r="L235" s="302"/>
      <c r="M235" s="302"/>
      <c r="N235" s="302"/>
      <c r="O235" s="302"/>
      <c r="P235" s="302"/>
      <c r="Q235" s="302"/>
      <c r="R235" s="302"/>
      <c r="S235" s="302"/>
      <c r="T235" s="413"/>
      <c r="U235" s="302"/>
      <c r="V235" s="302"/>
      <c r="W235" s="302"/>
      <c r="X235" s="302"/>
      <c r="Y235" s="302"/>
      <c r="Z235" s="302"/>
      <c r="AA235" s="302"/>
    </row>
    <row r="236" spans="1:27" ht="16" x14ac:dyDescent="0.2">
      <c r="A236" s="302"/>
      <c r="B236" s="302"/>
      <c r="C236" s="302"/>
      <c r="D236" s="302"/>
      <c r="E236" s="302"/>
      <c r="F236" s="302"/>
      <c r="G236" s="302"/>
      <c r="H236" s="302"/>
      <c r="I236" s="302"/>
      <c r="J236" s="302"/>
      <c r="K236" s="302"/>
      <c r="L236" s="302"/>
      <c r="M236" s="302"/>
      <c r="N236" s="302"/>
      <c r="O236" s="302"/>
      <c r="P236" s="302"/>
      <c r="Q236" s="302"/>
      <c r="R236" s="302"/>
      <c r="S236" s="302"/>
      <c r="T236" s="413"/>
      <c r="U236" s="302"/>
      <c r="V236" s="302"/>
      <c r="W236" s="302"/>
      <c r="X236" s="302"/>
      <c r="Y236" s="302"/>
      <c r="Z236" s="302"/>
      <c r="AA236" s="302"/>
    </row>
    <row r="237" spans="1:27" ht="16" x14ac:dyDescent="0.2">
      <c r="A237" s="302"/>
      <c r="B237" s="302"/>
      <c r="C237" s="302"/>
      <c r="D237" s="302"/>
      <c r="E237" s="302"/>
      <c r="F237" s="302"/>
      <c r="G237" s="302"/>
      <c r="H237" s="302"/>
      <c r="I237" s="302"/>
      <c r="J237" s="302"/>
      <c r="K237" s="302"/>
      <c r="L237" s="302"/>
      <c r="M237" s="302"/>
      <c r="N237" s="302"/>
      <c r="O237" s="302"/>
      <c r="P237" s="302"/>
      <c r="Q237" s="302"/>
      <c r="R237" s="302"/>
      <c r="S237" s="302"/>
      <c r="T237" s="413"/>
      <c r="U237" s="302"/>
      <c r="V237" s="302"/>
      <c r="W237" s="302"/>
      <c r="X237" s="302"/>
      <c r="Y237" s="302"/>
      <c r="Z237" s="302"/>
      <c r="AA237" s="302"/>
    </row>
    <row r="238" spans="1:27" ht="16" x14ac:dyDescent="0.2">
      <c r="A238" s="302"/>
      <c r="B238" s="302"/>
      <c r="C238" s="302"/>
      <c r="D238" s="302"/>
      <c r="E238" s="302"/>
      <c r="F238" s="302"/>
      <c r="G238" s="302"/>
      <c r="H238" s="302"/>
      <c r="I238" s="302"/>
      <c r="J238" s="302"/>
      <c r="K238" s="302"/>
      <c r="L238" s="302"/>
      <c r="M238" s="302"/>
      <c r="N238" s="302"/>
      <c r="O238" s="302"/>
      <c r="P238" s="302"/>
      <c r="Q238" s="302"/>
      <c r="R238" s="302"/>
      <c r="S238" s="302"/>
      <c r="T238" s="413"/>
      <c r="U238" s="302"/>
      <c r="V238" s="302"/>
      <c r="W238" s="302"/>
      <c r="X238" s="302"/>
      <c r="Y238" s="302"/>
      <c r="Z238" s="302"/>
      <c r="AA238" s="302"/>
    </row>
    <row r="239" spans="1:27" ht="16" x14ac:dyDescent="0.2">
      <c r="A239" s="302"/>
      <c r="B239" s="302"/>
      <c r="C239" s="302"/>
      <c r="D239" s="302"/>
      <c r="E239" s="302"/>
      <c r="F239" s="302"/>
      <c r="G239" s="302"/>
      <c r="H239" s="302"/>
      <c r="I239" s="302"/>
      <c r="J239" s="302"/>
      <c r="K239" s="302"/>
      <c r="L239" s="302"/>
      <c r="M239" s="302"/>
      <c r="N239" s="302"/>
      <c r="O239" s="302"/>
      <c r="P239" s="302"/>
      <c r="Q239" s="302"/>
      <c r="R239" s="302"/>
      <c r="S239" s="302"/>
      <c r="T239" s="413"/>
      <c r="U239" s="302"/>
      <c r="V239" s="302"/>
      <c r="W239" s="302"/>
      <c r="X239" s="302"/>
      <c r="Y239" s="302"/>
      <c r="Z239" s="302"/>
      <c r="AA239" s="302"/>
    </row>
    <row r="240" spans="1:27" ht="16" x14ac:dyDescent="0.2">
      <c r="A240" s="302"/>
      <c r="B240" s="302"/>
      <c r="C240" s="302"/>
      <c r="D240" s="302"/>
      <c r="E240" s="302"/>
      <c r="F240" s="302"/>
      <c r="G240" s="302"/>
      <c r="H240" s="302"/>
      <c r="I240" s="302"/>
      <c r="J240" s="302"/>
      <c r="K240" s="302"/>
      <c r="L240" s="302"/>
      <c r="M240" s="302"/>
      <c r="N240" s="302"/>
      <c r="O240" s="302"/>
      <c r="P240" s="302"/>
      <c r="Q240" s="302"/>
      <c r="R240" s="302"/>
      <c r="S240" s="302"/>
      <c r="T240" s="413"/>
      <c r="U240" s="302"/>
      <c r="V240" s="302"/>
      <c r="W240" s="302"/>
      <c r="X240" s="302"/>
      <c r="Y240" s="302"/>
      <c r="Z240" s="302"/>
      <c r="AA240" s="302"/>
    </row>
    <row r="241" spans="1:27" ht="16" x14ac:dyDescent="0.2">
      <c r="A241" s="302"/>
      <c r="B241" s="302"/>
      <c r="C241" s="302"/>
      <c r="D241" s="302"/>
      <c r="E241" s="302"/>
      <c r="F241" s="302"/>
      <c r="G241" s="302"/>
      <c r="H241" s="302"/>
      <c r="I241" s="302"/>
      <c r="J241" s="302"/>
      <c r="K241" s="302"/>
      <c r="L241" s="302"/>
      <c r="M241" s="302"/>
      <c r="N241" s="302"/>
      <c r="O241" s="302"/>
      <c r="P241" s="302"/>
      <c r="Q241" s="302"/>
      <c r="R241" s="302"/>
      <c r="S241" s="302"/>
      <c r="T241" s="413"/>
      <c r="U241" s="302"/>
      <c r="V241" s="302"/>
      <c r="W241" s="302"/>
      <c r="X241" s="302"/>
      <c r="Y241" s="302"/>
      <c r="Z241" s="302"/>
      <c r="AA241" s="302"/>
    </row>
    <row r="242" spans="1:27" ht="16" x14ac:dyDescent="0.2">
      <c r="A242" s="302"/>
      <c r="B242" s="302"/>
      <c r="C242" s="302"/>
      <c r="D242" s="302"/>
      <c r="E242" s="302"/>
      <c r="F242" s="302"/>
      <c r="G242" s="302"/>
      <c r="H242" s="302"/>
      <c r="I242" s="302"/>
      <c r="J242" s="302"/>
      <c r="K242" s="302"/>
      <c r="L242" s="302"/>
      <c r="M242" s="302"/>
      <c r="N242" s="302"/>
      <c r="O242" s="302"/>
      <c r="P242" s="302"/>
      <c r="Q242" s="302"/>
      <c r="R242" s="302"/>
      <c r="S242" s="302"/>
      <c r="T242" s="413"/>
      <c r="U242" s="302"/>
      <c r="V242" s="302"/>
      <c r="W242" s="302"/>
      <c r="X242" s="302"/>
      <c r="Y242" s="302"/>
      <c r="Z242" s="302"/>
      <c r="AA242" s="302"/>
    </row>
    <row r="243" spans="1:27" ht="16" x14ac:dyDescent="0.2">
      <c r="A243" s="302"/>
      <c r="B243" s="302"/>
      <c r="C243" s="302"/>
      <c r="D243" s="302"/>
      <c r="E243" s="302"/>
      <c r="F243" s="302"/>
      <c r="G243" s="302"/>
      <c r="H243" s="302"/>
      <c r="I243" s="302"/>
      <c r="J243" s="302"/>
      <c r="K243" s="302"/>
      <c r="L243" s="302"/>
      <c r="M243" s="302"/>
      <c r="N243" s="302"/>
      <c r="O243" s="302"/>
      <c r="P243" s="302"/>
      <c r="Q243" s="302"/>
      <c r="R243" s="302"/>
      <c r="S243" s="302"/>
      <c r="T243" s="413"/>
      <c r="U243" s="302"/>
      <c r="V243" s="302"/>
      <c r="W243" s="302"/>
      <c r="X243" s="302"/>
      <c r="Y243" s="302"/>
      <c r="Z243" s="302"/>
      <c r="AA243" s="302"/>
    </row>
    <row r="244" spans="1:27" ht="16" x14ac:dyDescent="0.2">
      <c r="A244" s="302"/>
      <c r="B244" s="302"/>
      <c r="C244" s="302"/>
      <c r="D244" s="302"/>
      <c r="E244" s="302"/>
      <c r="F244" s="302"/>
      <c r="G244" s="302"/>
      <c r="H244" s="302"/>
      <c r="I244" s="302"/>
      <c r="J244" s="302"/>
      <c r="K244" s="302"/>
      <c r="L244" s="302"/>
      <c r="M244" s="302"/>
      <c r="N244" s="302"/>
      <c r="O244" s="302"/>
      <c r="P244" s="302"/>
      <c r="Q244" s="302"/>
      <c r="R244" s="302"/>
      <c r="S244" s="302"/>
      <c r="T244" s="413"/>
      <c r="U244" s="302"/>
      <c r="V244" s="302"/>
      <c r="W244" s="302"/>
      <c r="X244" s="302"/>
      <c r="Y244" s="302"/>
      <c r="Z244" s="302"/>
      <c r="AA244" s="302"/>
    </row>
    <row r="245" spans="1:27" ht="16" x14ac:dyDescent="0.2">
      <c r="A245" s="302"/>
      <c r="B245" s="302"/>
      <c r="C245" s="302"/>
      <c r="D245" s="302"/>
      <c r="E245" s="302"/>
      <c r="F245" s="302"/>
      <c r="G245" s="302"/>
      <c r="H245" s="302"/>
      <c r="I245" s="302"/>
      <c r="J245" s="302"/>
      <c r="K245" s="302"/>
      <c r="L245" s="302"/>
      <c r="M245" s="302"/>
      <c r="N245" s="302"/>
      <c r="O245" s="302"/>
      <c r="P245" s="302"/>
      <c r="Q245" s="302"/>
      <c r="R245" s="302"/>
      <c r="S245" s="302"/>
      <c r="T245" s="413"/>
      <c r="U245" s="302"/>
      <c r="V245" s="302"/>
      <c r="W245" s="302"/>
      <c r="X245" s="302"/>
      <c r="Y245" s="302"/>
      <c r="Z245" s="302"/>
      <c r="AA245" s="302"/>
    </row>
    <row r="246" spans="1:27" ht="16" x14ac:dyDescent="0.2">
      <c r="A246" s="302"/>
      <c r="B246" s="302"/>
      <c r="C246" s="302"/>
      <c r="D246" s="302"/>
      <c r="E246" s="302"/>
      <c r="F246" s="302"/>
      <c r="G246" s="302"/>
      <c r="H246" s="302"/>
      <c r="I246" s="302"/>
      <c r="J246" s="302"/>
      <c r="K246" s="302"/>
      <c r="L246" s="302"/>
      <c r="M246" s="302"/>
      <c r="N246" s="302"/>
      <c r="O246" s="302"/>
      <c r="P246" s="302"/>
      <c r="Q246" s="302"/>
      <c r="R246" s="302"/>
      <c r="S246" s="302"/>
      <c r="T246" s="413"/>
      <c r="U246" s="302"/>
      <c r="V246" s="302"/>
      <c r="W246" s="302"/>
      <c r="X246" s="302"/>
      <c r="Y246" s="302"/>
      <c r="Z246" s="302"/>
      <c r="AA246" s="302"/>
    </row>
    <row r="247" spans="1:27" ht="16" x14ac:dyDescent="0.2">
      <c r="A247" s="302"/>
      <c r="B247" s="302"/>
      <c r="C247" s="302"/>
      <c r="D247" s="302"/>
      <c r="E247" s="302"/>
      <c r="F247" s="302"/>
      <c r="G247" s="302"/>
      <c r="H247" s="302"/>
      <c r="I247" s="302"/>
      <c r="J247" s="302"/>
      <c r="K247" s="302"/>
      <c r="L247" s="302"/>
      <c r="M247" s="302"/>
      <c r="N247" s="302"/>
      <c r="O247" s="302"/>
      <c r="P247" s="302"/>
      <c r="Q247" s="302"/>
      <c r="R247" s="302"/>
      <c r="S247" s="302"/>
      <c r="T247" s="413"/>
      <c r="U247" s="302"/>
      <c r="V247" s="302"/>
      <c r="W247" s="302"/>
      <c r="X247" s="302"/>
      <c r="Y247" s="302"/>
      <c r="Z247" s="302"/>
      <c r="AA247" s="302"/>
    </row>
    <row r="248" spans="1:27" ht="16" x14ac:dyDescent="0.2">
      <c r="A248" s="302"/>
      <c r="B248" s="302"/>
      <c r="C248" s="302"/>
      <c r="D248" s="302"/>
      <c r="E248" s="302"/>
      <c r="F248" s="302"/>
      <c r="G248" s="302"/>
      <c r="H248" s="302"/>
      <c r="I248" s="302"/>
      <c r="J248" s="302"/>
      <c r="K248" s="302"/>
      <c r="L248" s="302"/>
      <c r="M248" s="302"/>
      <c r="N248" s="302"/>
      <c r="O248" s="302"/>
      <c r="P248" s="302"/>
      <c r="Q248" s="302"/>
      <c r="R248" s="302"/>
      <c r="S248" s="302"/>
      <c r="T248" s="413"/>
      <c r="U248" s="302"/>
      <c r="V248" s="302"/>
      <c r="W248" s="302"/>
      <c r="X248" s="302"/>
      <c r="Y248" s="302"/>
      <c r="Z248" s="302"/>
      <c r="AA248" s="302"/>
    </row>
    <row r="249" spans="1:27" ht="16" x14ac:dyDescent="0.2">
      <c r="A249" s="302"/>
      <c r="B249" s="302"/>
      <c r="C249" s="302"/>
      <c r="D249" s="302"/>
      <c r="E249" s="302"/>
      <c r="F249" s="302"/>
      <c r="G249" s="302"/>
      <c r="H249" s="302"/>
      <c r="I249" s="302"/>
      <c r="J249" s="302"/>
      <c r="K249" s="302"/>
      <c r="L249" s="302"/>
      <c r="M249" s="302"/>
      <c r="N249" s="302"/>
      <c r="O249" s="302"/>
      <c r="P249" s="302"/>
      <c r="Q249" s="302"/>
      <c r="R249" s="302"/>
      <c r="S249" s="302"/>
      <c r="T249" s="413"/>
      <c r="U249" s="302"/>
      <c r="V249" s="302"/>
      <c r="W249" s="302"/>
      <c r="X249" s="302"/>
      <c r="Y249" s="302"/>
      <c r="Z249" s="302"/>
      <c r="AA249" s="302"/>
    </row>
    <row r="250" spans="1:27" ht="16" x14ac:dyDescent="0.2">
      <c r="A250" s="302"/>
      <c r="B250" s="302"/>
      <c r="C250" s="302"/>
      <c r="D250" s="302"/>
      <c r="E250" s="302"/>
      <c r="F250" s="302"/>
      <c r="G250" s="302"/>
      <c r="H250" s="302"/>
      <c r="I250" s="302"/>
      <c r="J250" s="302"/>
      <c r="K250" s="302"/>
      <c r="L250" s="302"/>
      <c r="M250" s="302"/>
      <c r="N250" s="302"/>
      <c r="O250" s="302"/>
      <c r="P250" s="302"/>
      <c r="Q250" s="302"/>
      <c r="R250" s="302"/>
      <c r="S250" s="302"/>
      <c r="T250" s="413"/>
      <c r="U250" s="302"/>
      <c r="V250" s="302"/>
      <c r="W250" s="302"/>
      <c r="X250" s="302"/>
      <c r="Y250" s="302"/>
      <c r="Z250" s="302"/>
      <c r="AA250" s="302"/>
    </row>
    <row r="251" spans="1:27" ht="16" x14ac:dyDescent="0.2">
      <c r="A251" s="302"/>
      <c r="B251" s="302"/>
      <c r="C251" s="302"/>
      <c r="D251" s="302"/>
      <c r="E251" s="302"/>
      <c r="F251" s="302"/>
      <c r="G251" s="302"/>
      <c r="H251" s="302"/>
      <c r="I251" s="302"/>
      <c r="J251" s="302"/>
      <c r="K251" s="302"/>
      <c r="L251" s="302"/>
      <c r="M251" s="302"/>
      <c r="N251" s="302"/>
      <c r="O251" s="302"/>
      <c r="P251" s="302"/>
      <c r="Q251" s="302"/>
      <c r="R251" s="302"/>
      <c r="S251" s="302"/>
      <c r="T251" s="413"/>
      <c r="U251" s="302"/>
      <c r="V251" s="302"/>
      <c r="W251" s="302"/>
      <c r="X251" s="302"/>
      <c r="Y251" s="302"/>
      <c r="Z251" s="302"/>
      <c r="AA251" s="302"/>
    </row>
    <row r="252" spans="1:27" ht="16" x14ac:dyDescent="0.2">
      <c r="A252" s="302"/>
      <c r="B252" s="302"/>
      <c r="C252" s="302"/>
      <c r="D252" s="302"/>
      <c r="E252" s="302"/>
      <c r="F252" s="302"/>
      <c r="G252" s="302"/>
      <c r="H252" s="302"/>
      <c r="I252" s="302"/>
      <c r="J252" s="302"/>
      <c r="K252" s="302"/>
      <c r="L252" s="302"/>
      <c r="M252" s="302"/>
      <c r="N252" s="302"/>
      <c r="O252" s="302"/>
      <c r="P252" s="302"/>
      <c r="Q252" s="302"/>
      <c r="R252" s="302"/>
      <c r="S252" s="302"/>
      <c r="T252" s="413"/>
      <c r="U252" s="302"/>
      <c r="V252" s="302"/>
      <c r="W252" s="302"/>
      <c r="X252" s="302"/>
      <c r="Y252" s="302"/>
      <c r="Z252" s="302"/>
      <c r="AA252" s="302"/>
    </row>
    <row r="253" spans="1:27" ht="16" x14ac:dyDescent="0.2">
      <c r="A253" s="302"/>
      <c r="B253" s="302"/>
      <c r="C253" s="302"/>
      <c r="D253" s="302"/>
      <c r="E253" s="302"/>
      <c r="F253" s="302"/>
      <c r="G253" s="302"/>
      <c r="H253" s="302"/>
      <c r="I253" s="302"/>
      <c r="J253" s="302"/>
      <c r="K253" s="302"/>
      <c r="L253" s="302"/>
      <c r="M253" s="302"/>
      <c r="N253" s="302"/>
      <c r="O253" s="302"/>
      <c r="P253" s="302"/>
      <c r="Q253" s="302"/>
      <c r="R253" s="302"/>
      <c r="S253" s="302"/>
      <c r="T253" s="413"/>
      <c r="U253" s="302"/>
      <c r="V253" s="302"/>
      <c r="W253" s="302"/>
      <c r="X253" s="302"/>
      <c r="Y253" s="302"/>
      <c r="Z253" s="302"/>
      <c r="AA253" s="302"/>
    </row>
    <row r="254" spans="1:27" ht="16" x14ac:dyDescent="0.2">
      <c r="A254" s="302"/>
      <c r="B254" s="302"/>
      <c r="C254" s="302"/>
      <c r="D254" s="302"/>
      <c r="E254" s="302"/>
      <c r="F254" s="302"/>
      <c r="G254" s="302"/>
      <c r="H254" s="302"/>
      <c r="I254" s="302"/>
      <c r="J254" s="302"/>
      <c r="K254" s="302"/>
      <c r="L254" s="302"/>
      <c r="M254" s="302"/>
      <c r="N254" s="302"/>
      <c r="O254" s="302"/>
      <c r="P254" s="302"/>
      <c r="Q254" s="302"/>
      <c r="R254" s="302"/>
      <c r="S254" s="302"/>
      <c r="T254" s="413"/>
      <c r="U254" s="302"/>
      <c r="V254" s="302"/>
      <c r="W254" s="302"/>
      <c r="X254" s="302"/>
      <c r="Y254" s="302"/>
      <c r="Z254" s="302"/>
      <c r="AA254" s="302"/>
    </row>
    <row r="255" spans="1:27" ht="16" x14ac:dyDescent="0.2">
      <c r="A255" s="302"/>
      <c r="B255" s="302"/>
      <c r="C255" s="302"/>
      <c r="D255" s="302"/>
      <c r="E255" s="302"/>
      <c r="F255" s="302"/>
      <c r="G255" s="302"/>
      <c r="H255" s="302"/>
      <c r="I255" s="302"/>
      <c r="J255" s="302"/>
      <c r="K255" s="302"/>
      <c r="L255" s="302"/>
      <c r="M255" s="302"/>
      <c r="N255" s="302"/>
      <c r="O255" s="302"/>
      <c r="P255" s="302"/>
      <c r="Q255" s="302"/>
      <c r="R255" s="302"/>
      <c r="S255" s="302"/>
      <c r="T255" s="413"/>
      <c r="U255" s="302"/>
      <c r="V255" s="302"/>
      <c r="W255" s="302"/>
      <c r="X255" s="302"/>
      <c r="Y255" s="302"/>
      <c r="Z255" s="302"/>
      <c r="AA255" s="302"/>
    </row>
    <row r="256" spans="1:27" ht="16" x14ac:dyDescent="0.2">
      <c r="A256" s="302"/>
      <c r="B256" s="302"/>
      <c r="C256" s="302"/>
      <c r="D256" s="302"/>
      <c r="E256" s="302"/>
      <c r="F256" s="302"/>
      <c r="G256" s="302"/>
      <c r="H256" s="302"/>
      <c r="I256" s="302"/>
      <c r="J256" s="302"/>
      <c r="K256" s="302"/>
      <c r="L256" s="302"/>
      <c r="M256" s="302"/>
      <c r="N256" s="302"/>
      <c r="O256" s="302"/>
      <c r="P256" s="302"/>
      <c r="Q256" s="302"/>
      <c r="R256" s="302"/>
      <c r="S256" s="302"/>
      <c r="T256" s="413"/>
      <c r="U256" s="302"/>
      <c r="V256" s="302"/>
      <c r="W256" s="302"/>
      <c r="X256" s="302"/>
      <c r="Y256" s="302"/>
      <c r="Z256" s="302"/>
      <c r="AA256" s="302"/>
    </row>
    <row r="257" spans="1:27" ht="16" x14ac:dyDescent="0.2">
      <c r="A257" s="302"/>
      <c r="B257" s="302"/>
      <c r="C257" s="302"/>
      <c r="D257" s="302"/>
      <c r="E257" s="302"/>
      <c r="F257" s="302"/>
      <c r="G257" s="302"/>
      <c r="H257" s="302"/>
      <c r="I257" s="302"/>
      <c r="J257" s="302"/>
      <c r="K257" s="302"/>
      <c r="L257" s="302"/>
      <c r="M257" s="302"/>
      <c r="N257" s="302"/>
      <c r="O257" s="302"/>
      <c r="P257" s="302"/>
      <c r="Q257" s="302"/>
      <c r="R257" s="302"/>
      <c r="S257" s="302"/>
      <c r="T257" s="413"/>
      <c r="U257" s="302"/>
      <c r="V257" s="302"/>
      <c r="W257" s="302"/>
      <c r="X257" s="302"/>
      <c r="Y257" s="302"/>
      <c r="Z257" s="302"/>
      <c r="AA257" s="302"/>
    </row>
    <row r="258" spans="1:27" ht="16" x14ac:dyDescent="0.2">
      <c r="A258" s="302"/>
      <c r="B258" s="302"/>
      <c r="C258" s="302"/>
      <c r="D258" s="302"/>
      <c r="E258" s="302"/>
      <c r="F258" s="302"/>
      <c r="G258" s="302"/>
      <c r="H258" s="302"/>
      <c r="I258" s="302"/>
      <c r="J258" s="302"/>
      <c r="K258" s="302"/>
      <c r="L258" s="302"/>
      <c r="M258" s="302"/>
      <c r="N258" s="302"/>
      <c r="O258" s="302"/>
      <c r="P258" s="302"/>
      <c r="Q258" s="302"/>
      <c r="R258" s="302"/>
      <c r="S258" s="302"/>
      <c r="T258" s="413"/>
      <c r="U258" s="302"/>
      <c r="V258" s="302"/>
      <c r="W258" s="302"/>
      <c r="X258" s="302"/>
      <c r="Y258" s="302"/>
      <c r="Z258" s="302"/>
      <c r="AA258" s="302"/>
    </row>
    <row r="259" spans="1:27" ht="16" x14ac:dyDescent="0.2">
      <c r="A259" s="302"/>
      <c r="B259" s="302"/>
      <c r="C259" s="302"/>
      <c r="D259" s="302"/>
      <c r="E259" s="302"/>
      <c r="F259" s="302"/>
      <c r="G259" s="302"/>
      <c r="H259" s="302"/>
      <c r="I259" s="302"/>
      <c r="J259" s="302"/>
      <c r="K259" s="302"/>
      <c r="L259" s="302"/>
      <c r="M259" s="302"/>
      <c r="N259" s="302"/>
      <c r="O259" s="302"/>
      <c r="P259" s="302"/>
      <c r="Q259" s="302"/>
      <c r="R259" s="302"/>
      <c r="S259" s="302"/>
      <c r="T259" s="413"/>
      <c r="U259" s="302"/>
      <c r="V259" s="302"/>
      <c r="W259" s="302"/>
      <c r="X259" s="302"/>
      <c r="Y259" s="302"/>
      <c r="Z259" s="302"/>
      <c r="AA259" s="302"/>
    </row>
    <row r="260" spans="1:27" ht="16" x14ac:dyDescent="0.2">
      <c r="A260" s="302"/>
      <c r="B260" s="302"/>
      <c r="C260" s="302"/>
      <c r="D260" s="302"/>
      <c r="E260" s="302"/>
      <c r="F260" s="302"/>
      <c r="G260" s="302"/>
      <c r="H260" s="302"/>
      <c r="I260" s="302"/>
      <c r="J260" s="302"/>
      <c r="K260" s="302"/>
      <c r="L260" s="302"/>
      <c r="M260" s="302"/>
      <c r="N260" s="302"/>
      <c r="O260" s="302"/>
      <c r="P260" s="302"/>
      <c r="Q260" s="302"/>
      <c r="R260" s="302"/>
      <c r="S260" s="302"/>
      <c r="T260" s="413"/>
      <c r="U260" s="302"/>
      <c r="V260" s="302"/>
      <c r="W260" s="302"/>
      <c r="X260" s="302"/>
      <c r="Y260" s="302"/>
      <c r="Z260" s="302"/>
      <c r="AA260" s="302"/>
    </row>
    <row r="261" spans="1:27" ht="16" x14ac:dyDescent="0.2">
      <c r="A261" s="302"/>
      <c r="B261" s="302"/>
      <c r="C261" s="302"/>
      <c r="D261" s="302"/>
      <c r="E261" s="302"/>
      <c r="F261" s="302"/>
      <c r="G261" s="302"/>
      <c r="H261" s="302"/>
      <c r="I261" s="302"/>
      <c r="J261" s="302"/>
      <c r="K261" s="302"/>
      <c r="L261" s="302"/>
      <c r="M261" s="302"/>
      <c r="N261" s="302"/>
      <c r="O261" s="302"/>
      <c r="P261" s="302"/>
      <c r="Q261" s="302"/>
      <c r="R261" s="302"/>
      <c r="S261" s="302"/>
      <c r="T261" s="413"/>
      <c r="U261" s="302"/>
      <c r="V261" s="302"/>
      <c r="W261" s="302"/>
      <c r="X261" s="302"/>
      <c r="Y261" s="302"/>
      <c r="Z261" s="302"/>
      <c r="AA261" s="302"/>
    </row>
    <row r="262" spans="1:27" ht="16" x14ac:dyDescent="0.2">
      <c r="A262" s="302"/>
      <c r="B262" s="302"/>
      <c r="C262" s="302"/>
      <c r="D262" s="302"/>
      <c r="E262" s="302"/>
      <c r="F262" s="302"/>
      <c r="G262" s="302"/>
      <c r="H262" s="302"/>
      <c r="I262" s="302"/>
      <c r="J262" s="302"/>
      <c r="K262" s="302"/>
      <c r="L262" s="302"/>
      <c r="M262" s="302"/>
      <c r="N262" s="302"/>
      <c r="O262" s="302"/>
      <c r="P262" s="302"/>
      <c r="Q262" s="302"/>
      <c r="R262" s="302"/>
      <c r="S262" s="302"/>
      <c r="T262" s="413"/>
      <c r="U262" s="302"/>
      <c r="V262" s="302"/>
      <c r="W262" s="302"/>
      <c r="X262" s="302"/>
      <c r="Y262" s="302"/>
      <c r="Z262" s="302"/>
      <c r="AA262" s="302"/>
    </row>
    <row r="263" spans="1:27" ht="16" x14ac:dyDescent="0.2">
      <c r="A263" s="302"/>
      <c r="B263" s="302"/>
      <c r="C263" s="302"/>
      <c r="D263" s="302"/>
      <c r="E263" s="302"/>
      <c r="F263" s="302"/>
      <c r="G263" s="302"/>
      <c r="H263" s="302"/>
      <c r="I263" s="302"/>
      <c r="J263" s="302"/>
      <c r="K263" s="302"/>
      <c r="L263" s="302"/>
      <c r="M263" s="302"/>
      <c r="N263" s="302"/>
      <c r="O263" s="302"/>
      <c r="P263" s="302"/>
      <c r="Q263" s="302"/>
      <c r="R263" s="302"/>
      <c r="S263" s="302"/>
      <c r="T263" s="413"/>
      <c r="U263" s="302"/>
      <c r="V263" s="302"/>
      <c r="W263" s="302"/>
      <c r="X263" s="302"/>
      <c r="Y263" s="302"/>
      <c r="Z263" s="302"/>
      <c r="AA263" s="302"/>
    </row>
    <row r="264" spans="1:27" ht="16" x14ac:dyDescent="0.2">
      <c r="A264" s="302"/>
      <c r="B264" s="302"/>
      <c r="C264" s="302"/>
      <c r="D264" s="302"/>
      <c r="E264" s="302"/>
      <c r="F264" s="302"/>
      <c r="G264" s="302"/>
      <c r="H264" s="302"/>
      <c r="I264" s="302"/>
      <c r="J264" s="302"/>
      <c r="K264" s="302"/>
      <c r="L264" s="302"/>
      <c r="M264" s="302"/>
      <c r="N264" s="302"/>
      <c r="O264" s="302"/>
      <c r="P264" s="302"/>
      <c r="Q264" s="302"/>
      <c r="R264" s="302"/>
      <c r="S264" s="302"/>
      <c r="T264" s="413"/>
      <c r="U264" s="302"/>
      <c r="V264" s="302"/>
      <c r="W264" s="302"/>
      <c r="X264" s="302"/>
      <c r="Y264" s="302"/>
      <c r="Z264" s="302"/>
      <c r="AA264" s="302"/>
    </row>
    <row r="265" spans="1:27" ht="16" x14ac:dyDescent="0.2">
      <c r="A265" s="302"/>
      <c r="B265" s="302"/>
      <c r="C265" s="302"/>
      <c r="D265" s="302"/>
      <c r="E265" s="302"/>
      <c r="F265" s="302"/>
      <c r="G265" s="302"/>
      <c r="H265" s="302"/>
      <c r="I265" s="302"/>
      <c r="J265" s="302"/>
      <c r="K265" s="302"/>
      <c r="L265" s="302"/>
      <c r="M265" s="302"/>
      <c r="N265" s="302"/>
      <c r="O265" s="302"/>
      <c r="P265" s="302"/>
      <c r="Q265" s="302"/>
      <c r="R265" s="302"/>
      <c r="S265" s="302"/>
      <c r="T265" s="413"/>
      <c r="U265" s="302"/>
      <c r="V265" s="302"/>
      <c r="W265" s="302"/>
      <c r="X265" s="302"/>
      <c r="Y265" s="302"/>
      <c r="Z265" s="302"/>
      <c r="AA265" s="302"/>
    </row>
    <row r="266" spans="1:27" ht="16" x14ac:dyDescent="0.2">
      <c r="A266" s="302"/>
      <c r="B266" s="302"/>
      <c r="C266" s="302"/>
      <c r="D266" s="302"/>
      <c r="E266" s="302"/>
      <c r="F266" s="302"/>
      <c r="G266" s="302"/>
      <c r="H266" s="302"/>
      <c r="I266" s="302"/>
      <c r="J266" s="302"/>
      <c r="K266" s="302"/>
      <c r="L266" s="302"/>
      <c r="M266" s="302"/>
      <c r="N266" s="302"/>
      <c r="O266" s="302"/>
      <c r="P266" s="302"/>
      <c r="Q266" s="302"/>
      <c r="R266" s="302"/>
      <c r="S266" s="302"/>
      <c r="T266" s="413"/>
      <c r="U266" s="302"/>
      <c r="V266" s="302"/>
      <c r="W266" s="302"/>
      <c r="X266" s="302"/>
      <c r="Y266" s="302"/>
      <c r="Z266" s="302"/>
      <c r="AA266" s="302"/>
    </row>
    <row r="267" spans="1:27" ht="16" x14ac:dyDescent="0.2">
      <c r="A267" s="302"/>
      <c r="B267" s="302"/>
      <c r="C267" s="302"/>
      <c r="D267" s="302"/>
      <c r="E267" s="302"/>
      <c r="F267" s="302"/>
      <c r="G267" s="302"/>
      <c r="H267" s="302"/>
      <c r="I267" s="302"/>
      <c r="J267" s="302"/>
      <c r="K267" s="302"/>
      <c r="L267" s="302"/>
      <c r="M267" s="302"/>
      <c r="N267" s="302"/>
      <c r="O267" s="302"/>
      <c r="P267" s="302"/>
      <c r="Q267" s="302"/>
      <c r="R267" s="302"/>
      <c r="S267" s="302"/>
      <c r="T267" s="413"/>
      <c r="U267" s="302"/>
      <c r="V267" s="302"/>
      <c r="W267" s="302"/>
      <c r="X267" s="302"/>
      <c r="Y267" s="302"/>
      <c r="Z267" s="302"/>
      <c r="AA267" s="302"/>
    </row>
    <row r="268" spans="1:27" ht="16" x14ac:dyDescent="0.2">
      <c r="A268" s="302"/>
      <c r="B268" s="302"/>
      <c r="C268" s="302"/>
      <c r="D268" s="302"/>
      <c r="E268" s="302"/>
      <c r="F268" s="302"/>
      <c r="G268" s="302"/>
      <c r="H268" s="302"/>
      <c r="I268" s="302"/>
      <c r="J268" s="302"/>
      <c r="K268" s="302"/>
      <c r="L268" s="302"/>
      <c r="M268" s="302"/>
      <c r="N268" s="302"/>
      <c r="O268" s="302"/>
      <c r="P268" s="302"/>
      <c r="Q268" s="302"/>
      <c r="R268" s="302"/>
      <c r="S268" s="302"/>
      <c r="T268" s="413"/>
      <c r="U268" s="302"/>
      <c r="V268" s="302"/>
      <c r="W268" s="302"/>
      <c r="X268" s="302"/>
      <c r="Y268" s="302"/>
      <c r="Z268" s="302"/>
      <c r="AA268" s="302"/>
    </row>
    <row r="269" spans="1:27" ht="16" x14ac:dyDescent="0.2">
      <c r="A269" s="302"/>
      <c r="B269" s="302"/>
      <c r="C269" s="302"/>
      <c r="D269" s="302"/>
      <c r="E269" s="302"/>
      <c r="F269" s="302"/>
      <c r="G269" s="302"/>
      <c r="H269" s="302"/>
      <c r="I269" s="302"/>
      <c r="J269" s="302"/>
      <c r="K269" s="302"/>
      <c r="L269" s="302"/>
      <c r="M269" s="302"/>
      <c r="N269" s="302"/>
      <c r="O269" s="302"/>
      <c r="P269" s="302"/>
      <c r="Q269" s="302"/>
      <c r="R269" s="302"/>
      <c r="S269" s="302"/>
      <c r="T269" s="413"/>
      <c r="U269" s="302"/>
      <c r="V269" s="302"/>
      <c r="W269" s="302"/>
      <c r="X269" s="302"/>
      <c r="Y269" s="302"/>
      <c r="Z269" s="302"/>
      <c r="AA269" s="302"/>
    </row>
    <row r="270" spans="1:27" ht="16" x14ac:dyDescent="0.2">
      <c r="A270" s="302"/>
      <c r="B270" s="302"/>
      <c r="C270" s="302"/>
      <c r="D270" s="302"/>
      <c r="E270" s="302"/>
      <c r="F270" s="302"/>
      <c r="G270" s="302"/>
      <c r="H270" s="302"/>
      <c r="I270" s="302"/>
      <c r="J270" s="302"/>
      <c r="K270" s="302"/>
      <c r="L270" s="302"/>
      <c r="M270" s="302"/>
      <c r="N270" s="302"/>
      <c r="O270" s="302"/>
      <c r="P270" s="302"/>
      <c r="Q270" s="302"/>
      <c r="R270" s="302"/>
      <c r="S270" s="302"/>
      <c r="T270" s="413"/>
      <c r="U270" s="302"/>
      <c r="V270" s="302"/>
      <c r="W270" s="302"/>
      <c r="X270" s="302"/>
      <c r="Y270" s="302"/>
      <c r="Z270" s="302"/>
      <c r="AA270" s="302"/>
    </row>
    <row r="271" spans="1:27" ht="16" x14ac:dyDescent="0.2">
      <c r="A271" s="302"/>
      <c r="B271" s="302"/>
      <c r="C271" s="302"/>
      <c r="D271" s="302"/>
      <c r="E271" s="302"/>
      <c r="F271" s="302"/>
      <c r="G271" s="302"/>
      <c r="H271" s="302"/>
      <c r="I271" s="302"/>
      <c r="J271" s="302"/>
      <c r="K271" s="302"/>
      <c r="L271" s="302"/>
      <c r="M271" s="302"/>
      <c r="N271" s="302"/>
      <c r="O271" s="302"/>
      <c r="P271" s="302"/>
      <c r="Q271" s="302"/>
      <c r="R271" s="302"/>
      <c r="S271" s="302"/>
      <c r="T271" s="413"/>
      <c r="U271" s="302"/>
      <c r="V271" s="302"/>
      <c r="W271" s="302"/>
      <c r="X271" s="302"/>
      <c r="Y271" s="302"/>
      <c r="Z271" s="302"/>
      <c r="AA271" s="302"/>
    </row>
    <row r="272" spans="1:27" ht="16" x14ac:dyDescent="0.2">
      <c r="A272" s="302"/>
      <c r="B272" s="302"/>
      <c r="C272" s="302"/>
      <c r="D272" s="302"/>
      <c r="E272" s="302"/>
      <c r="F272" s="302"/>
      <c r="G272" s="302"/>
      <c r="H272" s="302"/>
      <c r="I272" s="302"/>
      <c r="J272" s="302"/>
      <c r="K272" s="302"/>
      <c r="L272" s="302"/>
      <c r="M272" s="302"/>
      <c r="N272" s="302"/>
      <c r="O272" s="302"/>
      <c r="P272" s="302"/>
      <c r="Q272" s="302"/>
      <c r="R272" s="302"/>
      <c r="S272" s="302"/>
      <c r="T272" s="413"/>
      <c r="U272" s="302"/>
      <c r="V272" s="302"/>
      <c r="W272" s="302"/>
      <c r="X272" s="302"/>
      <c r="Y272" s="302"/>
      <c r="Z272" s="302"/>
      <c r="AA272" s="302"/>
    </row>
    <row r="273" spans="1:27" ht="16" x14ac:dyDescent="0.2">
      <c r="A273" s="302"/>
      <c r="B273" s="302"/>
      <c r="C273" s="302"/>
      <c r="D273" s="302"/>
      <c r="E273" s="302"/>
      <c r="F273" s="302"/>
      <c r="G273" s="302"/>
      <c r="H273" s="302"/>
      <c r="I273" s="302"/>
      <c r="J273" s="302"/>
      <c r="K273" s="302"/>
      <c r="L273" s="302"/>
      <c r="M273" s="302"/>
      <c r="N273" s="302"/>
      <c r="O273" s="302"/>
      <c r="P273" s="302"/>
      <c r="Q273" s="302"/>
      <c r="R273" s="302"/>
      <c r="S273" s="302"/>
      <c r="T273" s="413"/>
      <c r="U273" s="302"/>
      <c r="V273" s="302"/>
      <c r="W273" s="302"/>
      <c r="X273" s="302"/>
      <c r="Y273" s="302"/>
      <c r="Z273" s="302"/>
      <c r="AA273" s="302"/>
    </row>
    <row r="274" spans="1:27" ht="16" x14ac:dyDescent="0.2">
      <c r="A274" s="302"/>
      <c r="B274" s="302"/>
      <c r="C274" s="302"/>
      <c r="D274" s="302"/>
      <c r="E274" s="302"/>
      <c r="F274" s="302"/>
      <c r="G274" s="302"/>
      <c r="H274" s="302"/>
      <c r="I274" s="302"/>
      <c r="J274" s="302"/>
      <c r="K274" s="302"/>
      <c r="L274" s="302"/>
      <c r="M274" s="302"/>
      <c r="N274" s="302"/>
      <c r="O274" s="302"/>
      <c r="P274" s="302"/>
      <c r="Q274" s="302"/>
      <c r="R274" s="302"/>
      <c r="S274" s="302"/>
      <c r="T274" s="413"/>
      <c r="U274" s="302"/>
      <c r="V274" s="302"/>
      <c r="W274" s="302"/>
      <c r="X274" s="302"/>
      <c r="Y274" s="302"/>
      <c r="Z274" s="302"/>
      <c r="AA274" s="302"/>
    </row>
    <row r="275" spans="1:27" ht="16" x14ac:dyDescent="0.2">
      <c r="A275" s="302"/>
      <c r="B275" s="302"/>
      <c r="C275" s="302"/>
      <c r="D275" s="302"/>
      <c r="E275" s="302"/>
      <c r="F275" s="302"/>
      <c r="G275" s="302"/>
      <c r="H275" s="302"/>
      <c r="I275" s="302"/>
      <c r="J275" s="302"/>
      <c r="K275" s="302"/>
      <c r="L275" s="302"/>
      <c r="M275" s="302"/>
      <c r="N275" s="302"/>
      <c r="O275" s="302"/>
      <c r="P275" s="302"/>
      <c r="Q275" s="302"/>
      <c r="R275" s="302"/>
      <c r="S275" s="302"/>
      <c r="T275" s="413"/>
      <c r="U275" s="302"/>
      <c r="V275" s="302"/>
      <c r="W275" s="302"/>
      <c r="X275" s="302"/>
      <c r="Y275" s="302"/>
      <c r="Z275" s="302"/>
      <c r="AA275" s="302"/>
    </row>
    <row r="276" spans="1:27" ht="16" x14ac:dyDescent="0.2">
      <c r="A276" s="302"/>
      <c r="B276" s="302"/>
      <c r="C276" s="302"/>
      <c r="D276" s="302"/>
      <c r="E276" s="302"/>
      <c r="F276" s="302"/>
      <c r="G276" s="302"/>
      <c r="H276" s="302"/>
      <c r="I276" s="302"/>
      <c r="J276" s="302"/>
      <c r="K276" s="302"/>
      <c r="L276" s="302"/>
      <c r="M276" s="302"/>
      <c r="N276" s="302"/>
      <c r="O276" s="302"/>
      <c r="P276" s="302"/>
      <c r="Q276" s="302"/>
      <c r="R276" s="302"/>
      <c r="S276" s="302"/>
      <c r="T276" s="413"/>
      <c r="U276" s="302"/>
      <c r="V276" s="302"/>
      <c r="W276" s="302"/>
      <c r="X276" s="302"/>
      <c r="Y276" s="302"/>
      <c r="Z276" s="302"/>
      <c r="AA276" s="302"/>
    </row>
    <row r="277" spans="1:27" ht="16" x14ac:dyDescent="0.2">
      <c r="A277" s="302"/>
      <c r="B277" s="302"/>
      <c r="C277" s="302"/>
      <c r="D277" s="302"/>
      <c r="E277" s="302"/>
      <c r="F277" s="302"/>
      <c r="G277" s="302"/>
      <c r="H277" s="302"/>
      <c r="I277" s="302"/>
      <c r="J277" s="302"/>
      <c r="K277" s="302"/>
      <c r="L277" s="302"/>
      <c r="M277" s="302"/>
      <c r="N277" s="302"/>
      <c r="O277" s="302"/>
      <c r="P277" s="302"/>
      <c r="Q277" s="302"/>
      <c r="R277" s="302"/>
      <c r="S277" s="302"/>
      <c r="T277" s="413"/>
      <c r="U277" s="302"/>
      <c r="V277" s="302"/>
      <c r="W277" s="302"/>
      <c r="X277" s="302"/>
      <c r="Y277" s="302"/>
      <c r="Z277" s="302"/>
      <c r="AA277" s="302"/>
    </row>
    <row r="278" spans="1:27" ht="16" x14ac:dyDescent="0.2">
      <c r="A278" s="302"/>
      <c r="B278" s="302"/>
      <c r="C278" s="302"/>
      <c r="D278" s="302"/>
      <c r="E278" s="302"/>
      <c r="F278" s="302"/>
      <c r="G278" s="302"/>
      <c r="H278" s="302"/>
      <c r="I278" s="302"/>
      <c r="J278" s="302"/>
      <c r="K278" s="302"/>
      <c r="L278" s="302"/>
      <c r="M278" s="302"/>
      <c r="N278" s="302"/>
      <c r="O278" s="302"/>
      <c r="P278" s="302"/>
      <c r="Q278" s="302"/>
      <c r="R278" s="302"/>
      <c r="S278" s="302"/>
      <c r="T278" s="413"/>
      <c r="U278" s="302"/>
      <c r="V278" s="302"/>
      <c r="W278" s="302"/>
      <c r="X278" s="302"/>
      <c r="Y278" s="302"/>
      <c r="Z278" s="302"/>
      <c r="AA278" s="302"/>
    </row>
    <row r="279" spans="1:27" ht="16" x14ac:dyDescent="0.2">
      <c r="A279" s="302"/>
      <c r="B279" s="302"/>
      <c r="C279" s="302"/>
      <c r="D279" s="302"/>
      <c r="E279" s="302"/>
      <c r="F279" s="302"/>
      <c r="G279" s="302"/>
      <c r="H279" s="302"/>
      <c r="I279" s="302"/>
      <c r="J279" s="302"/>
      <c r="K279" s="302"/>
      <c r="L279" s="302"/>
      <c r="M279" s="302"/>
      <c r="N279" s="302"/>
      <c r="O279" s="302"/>
      <c r="P279" s="302"/>
      <c r="Q279" s="302"/>
      <c r="R279" s="302"/>
      <c r="S279" s="302"/>
      <c r="T279" s="413"/>
      <c r="U279" s="302"/>
      <c r="V279" s="302"/>
      <c r="W279" s="302"/>
      <c r="X279" s="302"/>
      <c r="Y279" s="302"/>
      <c r="Z279" s="302"/>
      <c r="AA279" s="302"/>
    </row>
    <row r="280" spans="1:27" ht="16" x14ac:dyDescent="0.2">
      <c r="A280" s="302"/>
      <c r="B280" s="302"/>
      <c r="C280" s="302"/>
      <c r="D280" s="302"/>
      <c r="E280" s="302"/>
      <c r="F280" s="302"/>
      <c r="G280" s="302"/>
      <c r="H280" s="302"/>
      <c r="I280" s="302"/>
      <c r="J280" s="302"/>
      <c r="K280" s="302"/>
      <c r="L280" s="302"/>
      <c r="M280" s="302"/>
      <c r="N280" s="302"/>
      <c r="O280" s="302"/>
      <c r="P280" s="302"/>
      <c r="Q280" s="302"/>
      <c r="R280" s="302"/>
      <c r="S280" s="302"/>
      <c r="T280" s="413"/>
      <c r="U280" s="302"/>
      <c r="V280" s="302"/>
      <c r="W280" s="302"/>
      <c r="X280" s="302"/>
      <c r="Y280" s="302"/>
      <c r="Z280" s="302"/>
      <c r="AA280" s="302"/>
    </row>
    <row r="281" spans="1:27" ht="16" x14ac:dyDescent="0.2">
      <c r="A281" s="302"/>
      <c r="B281" s="302"/>
      <c r="C281" s="302"/>
      <c r="D281" s="302"/>
      <c r="E281" s="302"/>
      <c r="F281" s="302"/>
      <c r="G281" s="302"/>
      <c r="H281" s="302"/>
      <c r="I281" s="302"/>
      <c r="J281" s="302"/>
      <c r="K281" s="302"/>
      <c r="L281" s="302"/>
      <c r="M281" s="302"/>
      <c r="N281" s="302"/>
      <c r="O281" s="302"/>
      <c r="P281" s="302"/>
      <c r="Q281" s="302"/>
      <c r="R281" s="302"/>
      <c r="S281" s="302"/>
      <c r="T281" s="413"/>
      <c r="U281" s="302"/>
      <c r="V281" s="302"/>
      <c r="W281" s="302"/>
      <c r="X281" s="302"/>
      <c r="Y281" s="302"/>
      <c r="Z281" s="302"/>
      <c r="AA281" s="302"/>
    </row>
    <row r="282" spans="1:27" ht="16" x14ac:dyDescent="0.2">
      <c r="A282" s="302"/>
      <c r="B282" s="302"/>
      <c r="C282" s="302"/>
      <c r="D282" s="302"/>
      <c r="E282" s="302"/>
      <c r="F282" s="302"/>
      <c r="G282" s="302"/>
      <c r="H282" s="302"/>
      <c r="I282" s="302"/>
      <c r="J282" s="302"/>
      <c r="K282" s="302"/>
      <c r="L282" s="302"/>
      <c r="M282" s="302"/>
      <c r="N282" s="302"/>
      <c r="O282" s="302"/>
      <c r="P282" s="302"/>
      <c r="Q282" s="302"/>
      <c r="R282" s="302"/>
      <c r="S282" s="302"/>
      <c r="T282" s="413"/>
      <c r="U282" s="302"/>
      <c r="V282" s="302"/>
      <c r="W282" s="302"/>
      <c r="X282" s="302"/>
      <c r="Y282" s="302"/>
      <c r="Z282" s="302"/>
      <c r="AA282" s="302"/>
    </row>
    <row r="283" spans="1:27" ht="16" x14ac:dyDescent="0.2">
      <c r="A283" s="302"/>
      <c r="B283" s="302"/>
      <c r="C283" s="302"/>
      <c r="D283" s="302"/>
      <c r="E283" s="302"/>
      <c r="F283" s="302"/>
      <c r="G283" s="302"/>
      <c r="H283" s="302"/>
      <c r="I283" s="302"/>
      <c r="J283" s="302"/>
      <c r="K283" s="302"/>
      <c r="L283" s="302"/>
      <c r="M283" s="302"/>
      <c r="N283" s="302"/>
      <c r="O283" s="302"/>
      <c r="P283" s="302"/>
      <c r="Q283" s="302"/>
      <c r="R283" s="302"/>
      <c r="S283" s="302"/>
      <c r="T283" s="413"/>
      <c r="U283" s="302"/>
      <c r="V283" s="302"/>
      <c r="W283" s="302"/>
      <c r="X283" s="302"/>
      <c r="Y283" s="302"/>
      <c r="Z283" s="302"/>
      <c r="AA283" s="302"/>
    </row>
    <row r="284" spans="1:27" ht="16" x14ac:dyDescent="0.2">
      <c r="A284" s="302"/>
      <c r="B284" s="302"/>
      <c r="C284" s="302"/>
      <c r="D284" s="302"/>
      <c r="E284" s="302"/>
      <c r="F284" s="302"/>
      <c r="G284" s="302"/>
      <c r="H284" s="302"/>
      <c r="I284" s="302"/>
      <c r="J284" s="302"/>
      <c r="K284" s="302"/>
      <c r="L284" s="302"/>
      <c r="M284" s="302"/>
      <c r="N284" s="302"/>
      <c r="O284" s="302"/>
      <c r="P284" s="302"/>
      <c r="Q284" s="302"/>
      <c r="R284" s="302"/>
      <c r="S284" s="302"/>
      <c r="T284" s="413"/>
      <c r="U284" s="302"/>
      <c r="V284" s="302"/>
      <c r="W284" s="302"/>
      <c r="X284" s="302"/>
      <c r="Y284" s="302"/>
      <c r="Z284" s="302"/>
      <c r="AA284" s="302"/>
    </row>
    <row r="285" spans="1:27" ht="16" x14ac:dyDescent="0.2">
      <c r="A285" s="302"/>
      <c r="B285" s="302"/>
      <c r="C285" s="302"/>
      <c r="D285" s="302"/>
      <c r="E285" s="302"/>
      <c r="F285" s="302"/>
      <c r="G285" s="302"/>
      <c r="H285" s="302"/>
      <c r="I285" s="302"/>
      <c r="J285" s="302"/>
      <c r="K285" s="302"/>
      <c r="L285" s="302"/>
      <c r="M285" s="302"/>
      <c r="N285" s="302"/>
      <c r="O285" s="302"/>
      <c r="P285" s="302"/>
      <c r="Q285" s="302"/>
      <c r="R285" s="302"/>
      <c r="S285" s="302"/>
      <c r="T285" s="413"/>
      <c r="U285" s="302"/>
      <c r="V285" s="302"/>
      <c r="W285" s="302"/>
      <c r="X285" s="302"/>
      <c r="Y285" s="302"/>
      <c r="Z285" s="302"/>
      <c r="AA285" s="302"/>
    </row>
    <row r="286" spans="1:27" ht="16" x14ac:dyDescent="0.2">
      <c r="A286" s="302"/>
      <c r="B286" s="302"/>
      <c r="C286" s="302"/>
      <c r="D286" s="302"/>
      <c r="E286" s="302"/>
      <c r="F286" s="302"/>
      <c r="G286" s="302"/>
      <c r="H286" s="302"/>
      <c r="I286" s="302"/>
      <c r="J286" s="302"/>
      <c r="K286" s="302"/>
      <c r="L286" s="302"/>
      <c r="M286" s="302"/>
      <c r="N286" s="302"/>
      <c r="O286" s="302"/>
      <c r="P286" s="302"/>
      <c r="Q286" s="302"/>
      <c r="R286" s="302"/>
      <c r="S286" s="302"/>
      <c r="T286" s="413"/>
      <c r="U286" s="302"/>
      <c r="V286" s="302"/>
      <c r="W286" s="302"/>
      <c r="X286" s="302"/>
      <c r="Y286" s="302"/>
      <c r="Z286" s="302"/>
      <c r="AA286" s="302"/>
    </row>
    <row r="287" spans="1:27" ht="16" x14ac:dyDescent="0.2">
      <c r="A287" s="302"/>
      <c r="B287" s="302"/>
      <c r="C287" s="302"/>
      <c r="D287" s="302"/>
      <c r="E287" s="302"/>
      <c r="F287" s="302"/>
      <c r="G287" s="302"/>
      <c r="H287" s="302"/>
      <c r="I287" s="302"/>
      <c r="J287" s="302"/>
      <c r="K287" s="302"/>
      <c r="L287" s="302"/>
      <c r="M287" s="302"/>
      <c r="N287" s="302"/>
      <c r="O287" s="302"/>
      <c r="P287" s="302"/>
      <c r="Q287" s="302"/>
      <c r="R287" s="302"/>
      <c r="S287" s="302"/>
      <c r="T287" s="413"/>
      <c r="U287" s="302"/>
      <c r="V287" s="302"/>
      <c r="W287" s="302"/>
      <c r="X287" s="302"/>
      <c r="Y287" s="302"/>
      <c r="Z287" s="302"/>
      <c r="AA287" s="302"/>
    </row>
    <row r="288" spans="1:27" ht="16" x14ac:dyDescent="0.2">
      <c r="A288" s="302"/>
      <c r="B288" s="302"/>
      <c r="C288" s="302"/>
      <c r="D288" s="302"/>
      <c r="E288" s="302"/>
      <c r="F288" s="302"/>
      <c r="G288" s="302"/>
      <c r="H288" s="302"/>
      <c r="I288" s="302"/>
      <c r="J288" s="302"/>
      <c r="K288" s="302"/>
      <c r="L288" s="302"/>
      <c r="M288" s="302"/>
      <c r="N288" s="302"/>
      <c r="O288" s="302"/>
      <c r="P288" s="302"/>
      <c r="Q288" s="302"/>
      <c r="R288" s="302"/>
      <c r="S288" s="302"/>
      <c r="T288" s="413"/>
      <c r="U288" s="302"/>
      <c r="V288" s="302"/>
      <c r="W288" s="302"/>
      <c r="X288" s="302"/>
      <c r="Y288" s="302"/>
      <c r="Z288" s="302"/>
      <c r="AA288" s="302"/>
    </row>
    <row r="289" spans="1:27" ht="16" x14ac:dyDescent="0.2">
      <c r="A289" s="302"/>
      <c r="B289" s="302"/>
      <c r="C289" s="302"/>
      <c r="D289" s="302"/>
      <c r="E289" s="302"/>
      <c r="F289" s="302"/>
      <c r="G289" s="302"/>
      <c r="H289" s="302"/>
      <c r="I289" s="302"/>
      <c r="J289" s="302"/>
      <c r="K289" s="302"/>
      <c r="L289" s="302"/>
      <c r="M289" s="302"/>
      <c r="N289" s="302"/>
      <c r="O289" s="302"/>
      <c r="P289" s="302"/>
      <c r="Q289" s="302"/>
      <c r="R289" s="302"/>
      <c r="S289" s="302"/>
      <c r="T289" s="413"/>
      <c r="U289" s="302"/>
      <c r="V289" s="302"/>
      <c r="W289" s="302"/>
      <c r="X289" s="302"/>
      <c r="Y289" s="302"/>
      <c r="Z289" s="302"/>
      <c r="AA289" s="302"/>
    </row>
    <row r="290" spans="1:27" ht="16" x14ac:dyDescent="0.2">
      <c r="A290" s="302"/>
      <c r="B290" s="302"/>
      <c r="C290" s="302"/>
      <c r="D290" s="302"/>
      <c r="E290" s="302"/>
      <c r="F290" s="302"/>
      <c r="G290" s="302"/>
      <c r="H290" s="302"/>
      <c r="I290" s="302"/>
      <c r="J290" s="302"/>
      <c r="K290" s="302"/>
      <c r="L290" s="302"/>
      <c r="M290" s="302"/>
      <c r="N290" s="302"/>
      <c r="O290" s="302"/>
      <c r="P290" s="302"/>
      <c r="Q290" s="302"/>
      <c r="R290" s="302"/>
      <c r="S290" s="302"/>
      <c r="T290" s="413"/>
      <c r="U290" s="302"/>
      <c r="V290" s="302"/>
      <c r="W290" s="302"/>
      <c r="X290" s="302"/>
      <c r="Y290" s="302"/>
      <c r="Z290" s="302"/>
      <c r="AA290" s="302"/>
    </row>
    <row r="291" spans="1:27" ht="16" x14ac:dyDescent="0.2">
      <c r="A291" s="302"/>
      <c r="B291" s="302"/>
      <c r="C291" s="302"/>
      <c r="D291" s="302"/>
      <c r="E291" s="302"/>
      <c r="F291" s="302"/>
      <c r="G291" s="302"/>
      <c r="H291" s="302"/>
      <c r="I291" s="302"/>
      <c r="J291" s="302"/>
      <c r="K291" s="302"/>
      <c r="L291" s="302"/>
      <c r="M291" s="302"/>
      <c r="N291" s="302"/>
      <c r="O291" s="302"/>
      <c r="P291" s="302"/>
      <c r="Q291" s="302"/>
      <c r="R291" s="302"/>
      <c r="S291" s="302"/>
      <c r="T291" s="413"/>
      <c r="U291" s="302"/>
      <c r="V291" s="302"/>
      <c r="W291" s="302"/>
      <c r="X291" s="302"/>
      <c r="Y291" s="302"/>
      <c r="Z291" s="302"/>
      <c r="AA291" s="302"/>
    </row>
    <row r="292" spans="1:27" ht="16" x14ac:dyDescent="0.2">
      <c r="A292" s="302"/>
      <c r="B292" s="302"/>
      <c r="C292" s="302"/>
      <c r="D292" s="302"/>
      <c r="E292" s="302"/>
      <c r="F292" s="302"/>
      <c r="G292" s="302"/>
      <c r="H292" s="302"/>
      <c r="I292" s="302"/>
      <c r="J292" s="302"/>
      <c r="K292" s="302"/>
      <c r="L292" s="302"/>
      <c r="M292" s="302"/>
      <c r="N292" s="302"/>
      <c r="O292" s="302"/>
      <c r="P292" s="302"/>
      <c r="Q292" s="302"/>
      <c r="R292" s="302"/>
      <c r="S292" s="302"/>
      <c r="T292" s="413"/>
      <c r="U292" s="302"/>
      <c r="V292" s="302"/>
      <c r="W292" s="302"/>
      <c r="X292" s="302"/>
      <c r="Y292" s="302"/>
      <c r="Z292" s="302"/>
      <c r="AA292" s="302"/>
    </row>
    <row r="293" spans="1:27" ht="16" x14ac:dyDescent="0.2">
      <c r="A293" s="302"/>
      <c r="B293" s="302"/>
      <c r="C293" s="302"/>
      <c r="D293" s="302"/>
      <c r="E293" s="302"/>
      <c r="F293" s="302"/>
      <c r="G293" s="302"/>
      <c r="H293" s="302"/>
      <c r="I293" s="302"/>
      <c r="J293" s="302"/>
      <c r="K293" s="302"/>
      <c r="L293" s="302"/>
      <c r="M293" s="302"/>
      <c r="N293" s="302"/>
      <c r="O293" s="302"/>
      <c r="P293" s="302"/>
      <c r="Q293" s="302"/>
      <c r="R293" s="302"/>
      <c r="S293" s="302"/>
      <c r="T293" s="413"/>
      <c r="U293" s="302"/>
      <c r="V293" s="302"/>
      <c r="W293" s="302"/>
      <c r="X293" s="302"/>
      <c r="Y293" s="302"/>
      <c r="Z293" s="302"/>
      <c r="AA293" s="302"/>
    </row>
    <row r="294" spans="1:27" ht="16" x14ac:dyDescent="0.2">
      <c r="A294" s="302"/>
      <c r="B294" s="302"/>
      <c r="C294" s="302"/>
      <c r="D294" s="302"/>
      <c r="E294" s="302"/>
      <c r="F294" s="302"/>
      <c r="G294" s="302"/>
      <c r="H294" s="302"/>
      <c r="I294" s="302"/>
      <c r="J294" s="302"/>
      <c r="K294" s="302"/>
      <c r="L294" s="302"/>
      <c r="M294" s="302"/>
      <c r="N294" s="302"/>
      <c r="O294" s="302"/>
      <c r="P294" s="302"/>
      <c r="Q294" s="302"/>
      <c r="R294" s="302"/>
      <c r="S294" s="302"/>
      <c r="T294" s="413"/>
      <c r="U294" s="302"/>
      <c r="V294" s="302"/>
      <c r="W294" s="302"/>
      <c r="X294" s="302"/>
      <c r="Y294" s="302"/>
      <c r="Z294" s="302"/>
      <c r="AA294" s="302"/>
    </row>
    <row r="295" spans="1:27" ht="16" x14ac:dyDescent="0.2">
      <c r="A295" s="302"/>
      <c r="B295" s="302"/>
      <c r="C295" s="302"/>
      <c r="D295" s="302"/>
      <c r="E295" s="302"/>
      <c r="F295" s="302"/>
      <c r="G295" s="302"/>
      <c r="H295" s="302"/>
      <c r="I295" s="302"/>
      <c r="J295" s="302"/>
      <c r="K295" s="302"/>
      <c r="L295" s="302"/>
      <c r="M295" s="302"/>
      <c r="N295" s="302"/>
      <c r="O295" s="302"/>
      <c r="P295" s="302"/>
      <c r="Q295" s="302"/>
      <c r="R295" s="302"/>
      <c r="S295" s="302"/>
      <c r="T295" s="413"/>
      <c r="U295" s="302"/>
      <c r="V295" s="302"/>
      <c r="W295" s="302"/>
      <c r="X295" s="302"/>
      <c r="Y295" s="302"/>
      <c r="Z295" s="302"/>
      <c r="AA295" s="302"/>
    </row>
    <row r="296" spans="1:27" ht="16" x14ac:dyDescent="0.2">
      <c r="A296" s="302"/>
      <c r="B296" s="302"/>
      <c r="C296" s="302"/>
      <c r="D296" s="302"/>
      <c r="E296" s="302"/>
      <c r="F296" s="302"/>
      <c r="G296" s="302"/>
      <c r="H296" s="302"/>
      <c r="I296" s="302"/>
      <c r="J296" s="302"/>
      <c r="K296" s="302"/>
      <c r="L296" s="302"/>
      <c r="M296" s="302"/>
      <c r="N296" s="302"/>
      <c r="O296" s="302"/>
      <c r="P296" s="302"/>
      <c r="Q296" s="302"/>
      <c r="R296" s="302"/>
      <c r="S296" s="302"/>
      <c r="T296" s="413"/>
      <c r="U296" s="302"/>
      <c r="V296" s="302"/>
      <c r="W296" s="302"/>
      <c r="X296" s="302"/>
      <c r="Y296" s="302"/>
      <c r="Z296" s="302"/>
      <c r="AA296" s="302"/>
    </row>
    <row r="297" spans="1:27" ht="16" x14ac:dyDescent="0.2">
      <c r="A297" s="302"/>
      <c r="B297" s="302"/>
      <c r="C297" s="302"/>
      <c r="D297" s="302"/>
      <c r="E297" s="302"/>
      <c r="F297" s="302"/>
      <c r="G297" s="302"/>
      <c r="H297" s="302"/>
      <c r="I297" s="302"/>
      <c r="J297" s="302"/>
      <c r="K297" s="302"/>
      <c r="L297" s="302"/>
      <c r="M297" s="302"/>
      <c r="N297" s="302"/>
      <c r="O297" s="302"/>
      <c r="P297" s="302"/>
      <c r="Q297" s="302"/>
      <c r="R297" s="302"/>
      <c r="S297" s="302"/>
      <c r="T297" s="413"/>
      <c r="U297" s="302"/>
      <c r="V297" s="302"/>
      <c r="W297" s="302"/>
      <c r="X297" s="302"/>
      <c r="Y297" s="302"/>
      <c r="Z297" s="302"/>
      <c r="AA297" s="302"/>
    </row>
    <row r="298" spans="1:27" ht="16" x14ac:dyDescent="0.2">
      <c r="A298" s="302"/>
      <c r="B298" s="302"/>
      <c r="C298" s="302"/>
      <c r="D298" s="302"/>
      <c r="E298" s="302"/>
      <c r="F298" s="302"/>
      <c r="G298" s="302"/>
      <c r="H298" s="302"/>
      <c r="I298" s="302"/>
      <c r="J298" s="302"/>
      <c r="K298" s="302"/>
      <c r="L298" s="302"/>
      <c r="M298" s="302"/>
      <c r="N298" s="302"/>
      <c r="O298" s="302"/>
      <c r="P298" s="302"/>
      <c r="Q298" s="302"/>
      <c r="R298" s="302"/>
      <c r="S298" s="302"/>
      <c r="T298" s="413"/>
      <c r="U298" s="302"/>
      <c r="V298" s="302"/>
      <c r="W298" s="302"/>
      <c r="X298" s="302"/>
      <c r="Y298" s="302"/>
      <c r="Z298" s="302"/>
      <c r="AA298" s="302"/>
    </row>
    <row r="299" spans="1:27" ht="16" x14ac:dyDescent="0.2">
      <c r="A299" s="302"/>
      <c r="B299" s="302"/>
      <c r="C299" s="302"/>
      <c r="D299" s="302"/>
      <c r="E299" s="302"/>
      <c r="F299" s="302"/>
      <c r="G299" s="302"/>
      <c r="H299" s="302"/>
      <c r="I299" s="302"/>
      <c r="J299" s="302"/>
      <c r="K299" s="302"/>
      <c r="L299" s="302"/>
      <c r="M299" s="302"/>
      <c r="N299" s="302"/>
      <c r="O299" s="302"/>
      <c r="P299" s="302"/>
      <c r="Q299" s="302"/>
      <c r="R299" s="302"/>
      <c r="S299" s="302"/>
      <c r="T299" s="413"/>
      <c r="U299" s="302"/>
      <c r="V299" s="302"/>
      <c r="W299" s="302"/>
      <c r="X299" s="302"/>
      <c r="Y299" s="302"/>
      <c r="Z299" s="302"/>
      <c r="AA299" s="302"/>
    </row>
    <row r="300" spans="1:27" ht="16" x14ac:dyDescent="0.2">
      <c r="A300" s="302"/>
      <c r="B300" s="302"/>
      <c r="C300" s="302"/>
      <c r="D300" s="302"/>
      <c r="E300" s="302"/>
      <c r="F300" s="302"/>
      <c r="G300" s="302"/>
      <c r="H300" s="302"/>
      <c r="I300" s="302"/>
      <c r="J300" s="302"/>
      <c r="K300" s="302"/>
      <c r="L300" s="302"/>
      <c r="M300" s="302"/>
      <c r="N300" s="302"/>
      <c r="O300" s="302"/>
      <c r="P300" s="302"/>
      <c r="Q300" s="302"/>
      <c r="R300" s="302"/>
      <c r="S300" s="302"/>
      <c r="T300" s="413"/>
      <c r="U300" s="302"/>
      <c r="V300" s="302"/>
      <c r="W300" s="302"/>
      <c r="X300" s="302"/>
      <c r="Y300" s="302"/>
      <c r="Z300" s="302"/>
      <c r="AA300" s="302"/>
    </row>
    <row r="301" spans="1:27" ht="16" x14ac:dyDescent="0.2">
      <c r="A301" s="302"/>
      <c r="B301" s="302"/>
      <c r="C301" s="302"/>
      <c r="D301" s="302"/>
      <c r="E301" s="302"/>
      <c r="F301" s="302"/>
      <c r="G301" s="302"/>
      <c r="H301" s="302"/>
      <c r="I301" s="302"/>
      <c r="J301" s="302"/>
      <c r="K301" s="302"/>
      <c r="L301" s="302"/>
      <c r="M301" s="302"/>
      <c r="N301" s="302"/>
      <c r="O301" s="302"/>
      <c r="P301" s="302"/>
      <c r="Q301" s="302"/>
      <c r="R301" s="302"/>
      <c r="S301" s="302"/>
      <c r="T301" s="413"/>
      <c r="U301" s="302"/>
      <c r="V301" s="302"/>
      <c r="W301" s="302"/>
      <c r="X301" s="302"/>
      <c r="Y301" s="302"/>
      <c r="Z301" s="302"/>
      <c r="AA301" s="302"/>
    </row>
    <row r="302" spans="1:27" ht="16" x14ac:dyDescent="0.2">
      <c r="A302" s="302"/>
      <c r="B302" s="302"/>
      <c r="C302" s="302"/>
      <c r="D302" s="302"/>
      <c r="E302" s="302"/>
      <c r="F302" s="302"/>
      <c r="G302" s="302"/>
      <c r="H302" s="302"/>
      <c r="I302" s="302"/>
      <c r="J302" s="302"/>
      <c r="K302" s="302"/>
      <c r="L302" s="302"/>
      <c r="M302" s="302"/>
      <c r="N302" s="302"/>
      <c r="O302" s="302"/>
      <c r="P302" s="302"/>
      <c r="Q302" s="302"/>
      <c r="R302" s="302"/>
      <c r="S302" s="302"/>
      <c r="T302" s="413"/>
      <c r="U302" s="302"/>
      <c r="V302" s="302"/>
      <c r="W302" s="302"/>
      <c r="X302" s="302"/>
      <c r="Y302" s="302"/>
      <c r="Z302" s="302"/>
      <c r="AA302" s="302"/>
    </row>
    <row r="303" spans="1:27" ht="16" x14ac:dyDescent="0.2">
      <c r="A303" s="302"/>
      <c r="B303" s="302"/>
      <c r="C303" s="302"/>
      <c r="D303" s="302"/>
      <c r="E303" s="302"/>
      <c r="F303" s="302"/>
      <c r="G303" s="302"/>
      <c r="H303" s="302"/>
      <c r="I303" s="302"/>
      <c r="J303" s="302"/>
      <c r="K303" s="302"/>
      <c r="L303" s="302"/>
      <c r="M303" s="302"/>
      <c r="N303" s="302"/>
      <c r="O303" s="302"/>
      <c r="P303" s="302"/>
      <c r="Q303" s="302"/>
      <c r="R303" s="302"/>
      <c r="S303" s="302"/>
      <c r="T303" s="413"/>
      <c r="U303" s="302"/>
      <c r="V303" s="302"/>
      <c r="W303" s="302"/>
      <c r="X303" s="302"/>
      <c r="Y303" s="302"/>
      <c r="Z303" s="302"/>
      <c r="AA303" s="302"/>
    </row>
    <row r="304" spans="1:27" ht="16" x14ac:dyDescent="0.2">
      <c r="A304" s="302"/>
      <c r="B304" s="302"/>
      <c r="C304" s="302"/>
      <c r="D304" s="302"/>
      <c r="E304" s="302"/>
      <c r="F304" s="302"/>
      <c r="G304" s="302"/>
      <c r="H304" s="302"/>
      <c r="I304" s="302"/>
      <c r="J304" s="302"/>
      <c r="K304" s="302"/>
      <c r="L304" s="302"/>
      <c r="M304" s="302"/>
      <c r="N304" s="302"/>
      <c r="O304" s="302"/>
      <c r="P304" s="302"/>
      <c r="Q304" s="302"/>
      <c r="R304" s="302"/>
      <c r="S304" s="302"/>
      <c r="T304" s="413"/>
      <c r="U304" s="302"/>
      <c r="V304" s="302"/>
      <c r="W304" s="302"/>
      <c r="X304" s="302"/>
      <c r="Y304" s="302"/>
      <c r="Z304" s="302"/>
      <c r="AA304" s="302"/>
    </row>
    <row r="305" spans="1:27" ht="16" x14ac:dyDescent="0.2">
      <c r="A305" s="302"/>
      <c r="B305" s="302"/>
      <c r="C305" s="302"/>
      <c r="D305" s="302"/>
      <c r="E305" s="302"/>
      <c r="F305" s="302"/>
      <c r="G305" s="302"/>
      <c r="H305" s="302"/>
      <c r="I305" s="302"/>
      <c r="J305" s="302"/>
      <c r="K305" s="302"/>
      <c r="L305" s="302"/>
      <c r="M305" s="302"/>
      <c r="N305" s="302"/>
      <c r="O305" s="302"/>
      <c r="P305" s="302"/>
      <c r="Q305" s="302"/>
      <c r="R305" s="302"/>
      <c r="S305" s="302"/>
      <c r="T305" s="413"/>
      <c r="U305" s="302"/>
      <c r="V305" s="302"/>
      <c r="W305" s="302"/>
      <c r="X305" s="302"/>
      <c r="Y305" s="302"/>
      <c r="Z305" s="302"/>
      <c r="AA305" s="302"/>
    </row>
    <row r="306" spans="1:27" ht="16" x14ac:dyDescent="0.2">
      <c r="A306" s="302"/>
      <c r="B306" s="302"/>
      <c r="C306" s="302"/>
      <c r="D306" s="302"/>
      <c r="E306" s="302"/>
      <c r="F306" s="302"/>
      <c r="G306" s="302"/>
      <c r="H306" s="302"/>
      <c r="I306" s="302"/>
      <c r="J306" s="302"/>
      <c r="K306" s="302"/>
      <c r="L306" s="302"/>
      <c r="M306" s="302"/>
      <c r="N306" s="302"/>
      <c r="O306" s="302"/>
      <c r="P306" s="302"/>
      <c r="Q306" s="302"/>
      <c r="R306" s="302"/>
      <c r="S306" s="302"/>
      <c r="T306" s="413"/>
      <c r="U306" s="302"/>
      <c r="V306" s="302"/>
      <c r="W306" s="302"/>
      <c r="X306" s="302"/>
      <c r="Y306" s="302"/>
      <c r="Z306" s="302"/>
      <c r="AA306" s="302"/>
    </row>
    <row r="307" spans="1:27" ht="16" x14ac:dyDescent="0.2">
      <c r="A307" s="302"/>
      <c r="B307" s="302"/>
      <c r="C307" s="302"/>
      <c r="D307" s="302"/>
      <c r="E307" s="302"/>
      <c r="F307" s="302"/>
      <c r="G307" s="302"/>
      <c r="H307" s="302"/>
      <c r="I307" s="302"/>
      <c r="J307" s="302"/>
      <c r="K307" s="302"/>
      <c r="L307" s="302"/>
      <c r="M307" s="302"/>
      <c r="N307" s="302"/>
      <c r="O307" s="302"/>
      <c r="P307" s="302"/>
      <c r="Q307" s="302"/>
      <c r="R307" s="302"/>
      <c r="S307" s="302"/>
      <c r="T307" s="413"/>
      <c r="U307" s="302"/>
      <c r="V307" s="302"/>
      <c r="W307" s="302"/>
      <c r="X307" s="302"/>
      <c r="Y307" s="302"/>
      <c r="Z307" s="302"/>
      <c r="AA307" s="302"/>
    </row>
    <row r="308" spans="1:27" ht="16" x14ac:dyDescent="0.2">
      <c r="A308" s="302"/>
      <c r="B308" s="302"/>
      <c r="C308" s="302"/>
      <c r="D308" s="302"/>
      <c r="E308" s="302"/>
      <c r="F308" s="302"/>
      <c r="G308" s="302"/>
      <c r="H308" s="302"/>
      <c r="I308" s="302"/>
      <c r="J308" s="302"/>
      <c r="K308" s="302"/>
      <c r="L308" s="302"/>
      <c r="M308" s="302"/>
      <c r="N308" s="302"/>
      <c r="O308" s="302"/>
      <c r="P308" s="302"/>
      <c r="Q308" s="302"/>
      <c r="R308" s="302"/>
      <c r="S308" s="302"/>
      <c r="T308" s="413"/>
      <c r="U308" s="302"/>
      <c r="V308" s="302"/>
      <c r="W308" s="302"/>
      <c r="X308" s="302"/>
      <c r="Y308" s="302"/>
      <c r="Z308" s="302"/>
      <c r="AA308" s="302"/>
    </row>
    <row r="309" spans="1:27" ht="16" x14ac:dyDescent="0.2">
      <c r="A309" s="302"/>
      <c r="B309" s="302"/>
      <c r="C309" s="302"/>
      <c r="D309" s="302"/>
      <c r="E309" s="302"/>
      <c r="F309" s="302"/>
      <c r="G309" s="302"/>
      <c r="H309" s="302"/>
      <c r="I309" s="302"/>
      <c r="J309" s="302"/>
      <c r="K309" s="302"/>
      <c r="L309" s="302"/>
      <c r="M309" s="302"/>
      <c r="N309" s="302"/>
      <c r="O309" s="302"/>
      <c r="P309" s="302"/>
      <c r="Q309" s="302"/>
      <c r="R309" s="302"/>
      <c r="S309" s="302"/>
      <c r="T309" s="413"/>
      <c r="U309" s="302"/>
      <c r="V309" s="302"/>
      <c r="W309" s="302"/>
      <c r="X309" s="302"/>
      <c r="Y309" s="302"/>
      <c r="Z309" s="302"/>
      <c r="AA309" s="302"/>
    </row>
    <row r="310" spans="1:27" ht="16" x14ac:dyDescent="0.2">
      <c r="A310" s="302"/>
      <c r="B310" s="302"/>
      <c r="C310" s="302"/>
      <c r="D310" s="302"/>
      <c r="E310" s="302"/>
      <c r="F310" s="302"/>
      <c r="G310" s="302"/>
      <c r="H310" s="302"/>
      <c r="I310" s="302"/>
      <c r="J310" s="302"/>
      <c r="K310" s="302"/>
      <c r="L310" s="302"/>
      <c r="M310" s="302"/>
      <c r="N310" s="302"/>
      <c r="O310" s="302"/>
      <c r="P310" s="302"/>
      <c r="Q310" s="302"/>
      <c r="R310" s="302"/>
      <c r="S310" s="302"/>
      <c r="T310" s="413"/>
      <c r="U310" s="302"/>
      <c r="V310" s="302"/>
      <c r="W310" s="302"/>
      <c r="X310" s="302"/>
      <c r="Y310" s="302"/>
      <c r="Z310" s="302"/>
      <c r="AA310" s="302"/>
    </row>
    <row r="311" spans="1:27" ht="16" x14ac:dyDescent="0.2">
      <c r="A311" s="302"/>
      <c r="B311" s="302"/>
      <c r="C311" s="302"/>
      <c r="D311" s="302"/>
      <c r="E311" s="302"/>
      <c r="F311" s="302"/>
      <c r="G311" s="302"/>
      <c r="H311" s="302"/>
      <c r="I311" s="302"/>
      <c r="J311" s="302"/>
      <c r="K311" s="302"/>
      <c r="L311" s="302"/>
      <c r="M311" s="302"/>
      <c r="N311" s="302"/>
      <c r="O311" s="302"/>
      <c r="P311" s="302"/>
      <c r="Q311" s="302"/>
      <c r="R311" s="302"/>
      <c r="S311" s="302"/>
      <c r="T311" s="413"/>
      <c r="U311" s="302"/>
      <c r="V311" s="302"/>
      <c r="W311" s="302"/>
      <c r="X311" s="302"/>
      <c r="Y311" s="302"/>
      <c r="Z311" s="302"/>
      <c r="AA311" s="302"/>
    </row>
    <row r="312" spans="1:27" ht="16" x14ac:dyDescent="0.2">
      <c r="A312" s="302"/>
      <c r="B312" s="302"/>
      <c r="C312" s="302"/>
      <c r="D312" s="302"/>
      <c r="E312" s="302"/>
      <c r="F312" s="302"/>
      <c r="G312" s="302"/>
      <c r="H312" s="302"/>
      <c r="I312" s="302"/>
      <c r="J312" s="302"/>
      <c r="K312" s="302"/>
      <c r="L312" s="302"/>
      <c r="M312" s="302"/>
      <c r="N312" s="302"/>
      <c r="O312" s="302"/>
      <c r="P312" s="302"/>
      <c r="Q312" s="302"/>
      <c r="R312" s="302"/>
      <c r="S312" s="302"/>
      <c r="T312" s="413"/>
      <c r="U312" s="302"/>
      <c r="V312" s="302"/>
      <c r="W312" s="302"/>
      <c r="X312" s="302"/>
      <c r="Y312" s="302"/>
      <c r="Z312" s="302"/>
      <c r="AA312" s="302"/>
    </row>
    <row r="313" spans="1:27" ht="16" x14ac:dyDescent="0.2">
      <c r="A313" s="302"/>
      <c r="B313" s="302"/>
      <c r="C313" s="302"/>
      <c r="D313" s="302"/>
      <c r="E313" s="302"/>
      <c r="F313" s="302"/>
      <c r="G313" s="302"/>
      <c r="H313" s="302"/>
      <c r="I313" s="302"/>
      <c r="J313" s="302"/>
      <c r="K313" s="302"/>
      <c r="L313" s="302"/>
      <c r="M313" s="302"/>
      <c r="N313" s="302"/>
      <c r="O313" s="302"/>
      <c r="P313" s="302"/>
      <c r="Q313" s="302"/>
      <c r="R313" s="302"/>
      <c r="S313" s="302"/>
      <c r="T313" s="413"/>
      <c r="U313" s="302"/>
      <c r="V313" s="302"/>
      <c r="W313" s="302"/>
      <c r="X313" s="302"/>
      <c r="Y313" s="302"/>
      <c r="Z313" s="302"/>
      <c r="AA313" s="302"/>
    </row>
    <row r="314" spans="1:27" ht="16" x14ac:dyDescent="0.2">
      <c r="A314" s="302"/>
      <c r="B314" s="302"/>
      <c r="C314" s="302"/>
      <c r="D314" s="302"/>
      <c r="E314" s="302"/>
      <c r="F314" s="302"/>
      <c r="G314" s="302"/>
      <c r="H314" s="302"/>
      <c r="I314" s="302"/>
      <c r="J314" s="302"/>
      <c r="K314" s="302"/>
      <c r="L314" s="302"/>
      <c r="M314" s="302"/>
      <c r="N314" s="302"/>
      <c r="O314" s="302"/>
      <c r="P314" s="302"/>
      <c r="Q314" s="302"/>
      <c r="R314" s="302"/>
      <c r="S314" s="302"/>
      <c r="T314" s="413"/>
      <c r="U314" s="302"/>
      <c r="V314" s="302"/>
      <c r="W314" s="302"/>
      <c r="X314" s="302"/>
      <c r="Y314" s="302"/>
      <c r="Z314" s="302"/>
      <c r="AA314" s="302"/>
    </row>
    <row r="315" spans="1:27" ht="16" x14ac:dyDescent="0.2">
      <c r="A315" s="302"/>
      <c r="B315" s="302"/>
      <c r="C315" s="302"/>
      <c r="D315" s="302"/>
      <c r="E315" s="302"/>
      <c r="F315" s="302"/>
      <c r="G315" s="302"/>
      <c r="H315" s="302"/>
      <c r="I315" s="302"/>
      <c r="J315" s="302"/>
      <c r="K315" s="302"/>
      <c r="L315" s="302"/>
      <c r="M315" s="302"/>
      <c r="N315" s="302"/>
      <c r="O315" s="302"/>
      <c r="P315" s="302"/>
      <c r="Q315" s="302"/>
      <c r="R315" s="302"/>
      <c r="S315" s="302"/>
      <c r="T315" s="413"/>
      <c r="U315" s="302"/>
      <c r="V315" s="302"/>
      <c r="W315" s="302"/>
      <c r="X315" s="302"/>
      <c r="Y315" s="302"/>
      <c r="Z315" s="302"/>
      <c r="AA315" s="302"/>
    </row>
    <row r="316" spans="1:27" ht="16" x14ac:dyDescent="0.2">
      <c r="A316" s="302"/>
      <c r="B316" s="302"/>
      <c r="C316" s="302"/>
      <c r="D316" s="302"/>
      <c r="E316" s="302"/>
      <c r="F316" s="302"/>
      <c r="G316" s="302"/>
      <c r="H316" s="302"/>
      <c r="I316" s="302"/>
      <c r="J316" s="302"/>
      <c r="K316" s="302"/>
      <c r="L316" s="302"/>
      <c r="M316" s="302"/>
      <c r="N316" s="302"/>
      <c r="O316" s="302"/>
      <c r="P316" s="302"/>
      <c r="Q316" s="302"/>
      <c r="R316" s="302"/>
      <c r="S316" s="302"/>
      <c r="T316" s="413"/>
      <c r="U316" s="302"/>
      <c r="V316" s="302"/>
      <c r="W316" s="302"/>
      <c r="X316" s="302"/>
      <c r="Y316" s="302"/>
      <c r="Z316" s="302"/>
      <c r="AA316" s="302"/>
    </row>
    <row r="317" spans="1:27" ht="16" x14ac:dyDescent="0.2">
      <c r="A317" s="302"/>
      <c r="B317" s="302"/>
      <c r="C317" s="302"/>
      <c r="D317" s="302"/>
      <c r="E317" s="302"/>
      <c r="F317" s="302"/>
      <c r="G317" s="302"/>
      <c r="H317" s="302"/>
      <c r="I317" s="302"/>
      <c r="J317" s="302"/>
      <c r="K317" s="302"/>
      <c r="L317" s="302"/>
      <c r="M317" s="302"/>
      <c r="N317" s="302"/>
      <c r="O317" s="302"/>
      <c r="P317" s="302"/>
      <c r="Q317" s="302"/>
      <c r="R317" s="302"/>
      <c r="S317" s="302"/>
      <c r="T317" s="413"/>
      <c r="U317" s="302"/>
      <c r="V317" s="302"/>
      <c r="W317" s="302"/>
      <c r="X317" s="302"/>
      <c r="Y317" s="302"/>
      <c r="Z317" s="302"/>
      <c r="AA317" s="302"/>
    </row>
    <row r="318" spans="1:27" ht="16" x14ac:dyDescent="0.2">
      <c r="A318" s="302"/>
      <c r="B318" s="302"/>
      <c r="C318" s="302"/>
      <c r="D318" s="302"/>
      <c r="E318" s="302"/>
      <c r="F318" s="302"/>
      <c r="G318" s="302"/>
      <c r="H318" s="302"/>
      <c r="I318" s="302"/>
      <c r="J318" s="302"/>
      <c r="K318" s="302"/>
      <c r="L318" s="302"/>
      <c r="M318" s="302"/>
      <c r="N318" s="302"/>
      <c r="O318" s="302"/>
      <c r="P318" s="302"/>
      <c r="Q318" s="302"/>
      <c r="R318" s="302"/>
      <c r="S318" s="302"/>
      <c r="T318" s="413"/>
      <c r="U318" s="302"/>
      <c r="V318" s="302"/>
      <c r="W318" s="302"/>
      <c r="X318" s="302"/>
      <c r="Y318" s="302"/>
      <c r="Z318" s="302"/>
      <c r="AA318" s="302"/>
    </row>
    <row r="319" spans="1:27" ht="16" x14ac:dyDescent="0.2">
      <c r="A319" s="302"/>
      <c r="B319" s="302"/>
      <c r="C319" s="302"/>
      <c r="D319" s="302"/>
      <c r="E319" s="302"/>
      <c r="F319" s="302"/>
      <c r="G319" s="302"/>
      <c r="H319" s="302"/>
      <c r="I319" s="302"/>
      <c r="J319" s="302"/>
      <c r="K319" s="302"/>
      <c r="L319" s="302"/>
      <c r="M319" s="302"/>
      <c r="N319" s="302"/>
      <c r="O319" s="302"/>
      <c r="P319" s="302"/>
      <c r="Q319" s="302"/>
      <c r="R319" s="302"/>
      <c r="S319" s="302"/>
      <c r="T319" s="413"/>
      <c r="U319" s="302"/>
      <c r="V319" s="302"/>
      <c r="W319" s="302"/>
      <c r="X319" s="302"/>
      <c r="Y319" s="302"/>
      <c r="Z319" s="302"/>
      <c r="AA319" s="302"/>
    </row>
    <row r="320" spans="1:27" ht="16" x14ac:dyDescent="0.2">
      <c r="A320" s="302"/>
      <c r="B320" s="302"/>
      <c r="C320" s="302"/>
      <c r="D320" s="302"/>
      <c r="E320" s="302"/>
      <c r="F320" s="302"/>
      <c r="G320" s="302"/>
      <c r="H320" s="302"/>
      <c r="I320" s="302"/>
      <c r="J320" s="302"/>
      <c r="K320" s="302"/>
      <c r="L320" s="302"/>
      <c r="M320" s="302"/>
      <c r="N320" s="302"/>
      <c r="O320" s="302"/>
      <c r="P320" s="302"/>
      <c r="Q320" s="302"/>
      <c r="R320" s="302"/>
      <c r="S320" s="302"/>
      <c r="T320" s="413"/>
      <c r="U320" s="302"/>
      <c r="V320" s="302"/>
      <c r="W320" s="302"/>
      <c r="X320" s="302"/>
      <c r="Y320" s="302"/>
      <c r="Z320" s="302"/>
      <c r="AA320" s="302"/>
    </row>
    <row r="321" spans="1:27" ht="16" x14ac:dyDescent="0.2">
      <c r="A321" s="302"/>
      <c r="B321" s="302"/>
      <c r="C321" s="302"/>
      <c r="D321" s="302"/>
      <c r="E321" s="302"/>
      <c r="F321" s="302"/>
      <c r="G321" s="302"/>
      <c r="H321" s="302"/>
      <c r="I321" s="302"/>
      <c r="J321" s="302"/>
      <c r="K321" s="302"/>
      <c r="L321" s="302"/>
      <c r="M321" s="302"/>
      <c r="N321" s="302"/>
      <c r="O321" s="302"/>
      <c r="P321" s="302"/>
      <c r="Q321" s="302"/>
      <c r="R321" s="302"/>
      <c r="S321" s="302"/>
      <c r="T321" s="413"/>
      <c r="U321" s="302"/>
      <c r="V321" s="302"/>
      <c r="W321" s="302"/>
      <c r="X321" s="302"/>
      <c r="Y321" s="302"/>
      <c r="Z321" s="302"/>
      <c r="AA321" s="302"/>
    </row>
    <row r="322" spans="1:27" ht="16" x14ac:dyDescent="0.2">
      <c r="A322" s="302"/>
      <c r="B322" s="302"/>
      <c r="C322" s="302"/>
      <c r="D322" s="302"/>
      <c r="E322" s="302"/>
      <c r="F322" s="302"/>
      <c r="G322" s="302"/>
      <c r="H322" s="302"/>
      <c r="I322" s="302"/>
      <c r="J322" s="302"/>
      <c r="K322" s="302"/>
      <c r="L322" s="302"/>
      <c r="M322" s="302"/>
      <c r="N322" s="302"/>
      <c r="O322" s="302"/>
      <c r="P322" s="302"/>
      <c r="Q322" s="302"/>
      <c r="R322" s="302"/>
      <c r="S322" s="302"/>
      <c r="T322" s="413"/>
      <c r="U322" s="302"/>
      <c r="V322" s="302"/>
      <c r="W322" s="302"/>
      <c r="X322" s="302"/>
      <c r="Y322" s="302"/>
      <c r="Z322" s="302"/>
      <c r="AA322" s="302"/>
    </row>
    <row r="323" spans="1:27" ht="16" x14ac:dyDescent="0.2">
      <c r="A323" s="302"/>
      <c r="B323" s="302"/>
      <c r="C323" s="302"/>
      <c r="D323" s="302"/>
      <c r="E323" s="302"/>
      <c r="F323" s="302"/>
      <c r="G323" s="302"/>
      <c r="H323" s="302"/>
      <c r="I323" s="302"/>
      <c r="J323" s="302"/>
      <c r="K323" s="302"/>
      <c r="L323" s="302"/>
      <c r="M323" s="302"/>
      <c r="N323" s="302"/>
      <c r="O323" s="302"/>
      <c r="P323" s="302"/>
      <c r="Q323" s="302"/>
      <c r="R323" s="302"/>
      <c r="S323" s="302"/>
      <c r="T323" s="413"/>
      <c r="U323" s="302"/>
      <c r="V323" s="302"/>
      <c r="W323" s="302"/>
      <c r="X323" s="302"/>
      <c r="Y323" s="302"/>
      <c r="Z323" s="302"/>
      <c r="AA323" s="302"/>
    </row>
    <row r="324" spans="1:27" ht="16" x14ac:dyDescent="0.2">
      <c r="A324" s="302"/>
      <c r="B324" s="302"/>
      <c r="C324" s="302"/>
      <c r="D324" s="302"/>
      <c r="E324" s="302"/>
      <c r="F324" s="302"/>
      <c r="G324" s="302"/>
      <c r="H324" s="302"/>
      <c r="I324" s="302"/>
      <c r="J324" s="302"/>
      <c r="K324" s="302"/>
      <c r="L324" s="302"/>
      <c r="M324" s="302"/>
      <c r="N324" s="302"/>
      <c r="O324" s="302"/>
      <c r="P324" s="302"/>
      <c r="Q324" s="302"/>
      <c r="R324" s="302"/>
      <c r="S324" s="302"/>
      <c r="T324" s="413"/>
      <c r="U324" s="302"/>
      <c r="V324" s="302"/>
      <c r="W324" s="302"/>
      <c r="X324" s="302"/>
      <c r="Y324" s="302"/>
      <c r="Z324" s="302"/>
      <c r="AA324" s="302"/>
    </row>
    <row r="325" spans="1:27" ht="16" x14ac:dyDescent="0.2">
      <c r="A325" s="302"/>
      <c r="B325" s="302"/>
      <c r="C325" s="302"/>
      <c r="D325" s="302"/>
      <c r="E325" s="302"/>
      <c r="F325" s="302"/>
      <c r="G325" s="302"/>
      <c r="H325" s="302"/>
      <c r="I325" s="302"/>
      <c r="J325" s="302"/>
      <c r="K325" s="302"/>
      <c r="L325" s="302"/>
      <c r="M325" s="302"/>
      <c r="N325" s="302"/>
      <c r="O325" s="302"/>
      <c r="P325" s="302"/>
      <c r="Q325" s="302"/>
      <c r="R325" s="302"/>
      <c r="S325" s="302"/>
      <c r="T325" s="413"/>
      <c r="U325" s="302"/>
      <c r="V325" s="302"/>
      <c r="W325" s="302"/>
      <c r="X325" s="302"/>
      <c r="Y325" s="302"/>
      <c r="Z325" s="302"/>
      <c r="AA325" s="302"/>
    </row>
    <row r="326" spans="1:27" ht="16" x14ac:dyDescent="0.2">
      <c r="A326" s="302"/>
      <c r="B326" s="302"/>
      <c r="C326" s="302"/>
      <c r="D326" s="302"/>
      <c r="E326" s="302"/>
      <c r="F326" s="302"/>
      <c r="G326" s="302"/>
      <c r="H326" s="302"/>
      <c r="I326" s="302"/>
      <c r="J326" s="302"/>
      <c r="K326" s="302"/>
      <c r="L326" s="302"/>
      <c r="M326" s="302"/>
      <c r="N326" s="302"/>
      <c r="O326" s="302"/>
      <c r="P326" s="302"/>
      <c r="Q326" s="302"/>
      <c r="R326" s="302"/>
      <c r="S326" s="302"/>
      <c r="T326" s="413"/>
      <c r="U326" s="302"/>
      <c r="V326" s="302"/>
      <c r="W326" s="302"/>
      <c r="X326" s="302"/>
      <c r="Y326" s="302"/>
      <c r="Z326" s="302"/>
      <c r="AA326" s="302"/>
    </row>
    <row r="327" spans="1:27" ht="16" x14ac:dyDescent="0.2">
      <c r="A327" s="302"/>
      <c r="B327" s="302"/>
      <c r="C327" s="302"/>
      <c r="D327" s="302"/>
      <c r="E327" s="302"/>
      <c r="F327" s="302"/>
      <c r="G327" s="302"/>
      <c r="H327" s="302"/>
      <c r="I327" s="302"/>
      <c r="J327" s="302"/>
      <c r="K327" s="302"/>
      <c r="L327" s="302"/>
      <c r="M327" s="302"/>
      <c r="N327" s="302"/>
      <c r="O327" s="302"/>
      <c r="P327" s="302"/>
      <c r="Q327" s="302"/>
      <c r="R327" s="302"/>
      <c r="S327" s="302"/>
      <c r="T327" s="413"/>
      <c r="U327" s="302"/>
      <c r="V327" s="302"/>
      <c r="W327" s="302"/>
      <c r="X327" s="302"/>
      <c r="Y327" s="302"/>
      <c r="Z327" s="302"/>
      <c r="AA327" s="302"/>
    </row>
    <row r="328" spans="1:27" ht="16" x14ac:dyDescent="0.2">
      <c r="A328" s="302"/>
      <c r="B328" s="302"/>
      <c r="C328" s="302"/>
      <c r="D328" s="302"/>
      <c r="E328" s="302"/>
      <c r="F328" s="302"/>
      <c r="G328" s="302"/>
      <c r="H328" s="302"/>
      <c r="I328" s="302"/>
      <c r="J328" s="302"/>
      <c r="K328" s="302"/>
      <c r="L328" s="302"/>
      <c r="M328" s="302"/>
      <c r="N328" s="302"/>
      <c r="O328" s="302"/>
      <c r="P328" s="302"/>
      <c r="Q328" s="302"/>
      <c r="R328" s="302"/>
      <c r="S328" s="302"/>
      <c r="T328" s="413"/>
      <c r="U328" s="302"/>
      <c r="V328" s="302"/>
      <c r="W328" s="302"/>
      <c r="X328" s="302"/>
      <c r="Y328" s="302"/>
      <c r="Z328" s="302"/>
      <c r="AA328" s="302"/>
    </row>
    <row r="329" spans="1:27" ht="16" x14ac:dyDescent="0.2">
      <c r="A329" s="302"/>
      <c r="B329" s="302"/>
      <c r="C329" s="302"/>
      <c r="D329" s="302"/>
      <c r="E329" s="302"/>
      <c r="F329" s="302"/>
      <c r="G329" s="302"/>
      <c r="H329" s="302"/>
      <c r="I329" s="302"/>
      <c r="J329" s="302"/>
      <c r="K329" s="302"/>
      <c r="L329" s="302"/>
      <c r="M329" s="302"/>
      <c r="N329" s="302"/>
      <c r="O329" s="302"/>
      <c r="P329" s="302"/>
      <c r="Q329" s="302"/>
      <c r="R329" s="302"/>
      <c r="S329" s="302"/>
      <c r="T329" s="413"/>
      <c r="U329" s="302"/>
      <c r="V329" s="302"/>
      <c r="W329" s="302"/>
      <c r="X329" s="302"/>
      <c r="Y329" s="302"/>
      <c r="Z329" s="302"/>
      <c r="AA329" s="302"/>
    </row>
    <row r="330" spans="1:27" ht="16" x14ac:dyDescent="0.2">
      <c r="A330" s="302"/>
      <c r="B330" s="302"/>
      <c r="C330" s="302"/>
      <c r="D330" s="302"/>
      <c r="E330" s="302"/>
      <c r="F330" s="302"/>
      <c r="G330" s="302"/>
      <c r="H330" s="302"/>
      <c r="I330" s="302"/>
      <c r="J330" s="302"/>
      <c r="K330" s="302"/>
      <c r="L330" s="302"/>
      <c r="M330" s="302"/>
      <c r="N330" s="302"/>
      <c r="O330" s="302"/>
      <c r="P330" s="302"/>
      <c r="Q330" s="302"/>
      <c r="R330" s="302"/>
      <c r="S330" s="302"/>
      <c r="T330" s="413"/>
      <c r="U330" s="302"/>
      <c r="V330" s="302"/>
      <c r="W330" s="302"/>
      <c r="X330" s="302"/>
      <c r="Y330" s="302"/>
      <c r="Z330" s="302"/>
      <c r="AA330" s="302"/>
    </row>
    <row r="331" spans="1:27" ht="16" x14ac:dyDescent="0.2">
      <c r="A331" s="302"/>
      <c r="B331" s="302"/>
      <c r="C331" s="302"/>
      <c r="D331" s="302"/>
      <c r="E331" s="302"/>
      <c r="F331" s="302"/>
      <c r="G331" s="302"/>
      <c r="H331" s="302"/>
      <c r="I331" s="302"/>
      <c r="J331" s="302"/>
      <c r="K331" s="302"/>
      <c r="L331" s="302"/>
      <c r="M331" s="302"/>
      <c r="N331" s="302"/>
      <c r="O331" s="302"/>
      <c r="P331" s="302"/>
      <c r="Q331" s="302"/>
      <c r="R331" s="302"/>
      <c r="S331" s="302"/>
      <c r="T331" s="413"/>
      <c r="U331" s="302"/>
      <c r="V331" s="302"/>
      <c r="W331" s="302"/>
      <c r="X331" s="302"/>
      <c r="Y331" s="302"/>
      <c r="Z331" s="302"/>
      <c r="AA331" s="302"/>
    </row>
    <row r="332" spans="1:27" ht="16" x14ac:dyDescent="0.2">
      <c r="A332" s="302"/>
      <c r="B332" s="302"/>
      <c r="C332" s="302"/>
      <c r="D332" s="302"/>
      <c r="E332" s="302"/>
      <c r="F332" s="302"/>
      <c r="G332" s="302"/>
      <c r="H332" s="302"/>
      <c r="I332" s="302"/>
      <c r="J332" s="302"/>
      <c r="K332" s="302"/>
      <c r="L332" s="302"/>
      <c r="M332" s="302"/>
      <c r="N332" s="302"/>
      <c r="O332" s="302"/>
      <c r="P332" s="302"/>
      <c r="Q332" s="302"/>
      <c r="R332" s="302"/>
      <c r="S332" s="302"/>
      <c r="T332" s="413"/>
      <c r="U332" s="302"/>
      <c r="V332" s="302"/>
      <c r="W332" s="302"/>
      <c r="X332" s="302"/>
      <c r="Y332" s="302"/>
      <c r="Z332" s="302"/>
      <c r="AA332" s="302"/>
    </row>
    <row r="333" spans="1:27" ht="16" x14ac:dyDescent="0.2">
      <c r="A333" s="302"/>
      <c r="B333" s="302"/>
      <c r="C333" s="302"/>
      <c r="D333" s="302"/>
      <c r="E333" s="302"/>
      <c r="F333" s="302"/>
      <c r="G333" s="302"/>
      <c r="H333" s="302"/>
      <c r="I333" s="302"/>
      <c r="J333" s="302"/>
      <c r="K333" s="302"/>
      <c r="L333" s="302"/>
      <c r="M333" s="302"/>
      <c r="N333" s="302"/>
      <c r="O333" s="302"/>
      <c r="P333" s="302"/>
      <c r="Q333" s="302"/>
      <c r="R333" s="302"/>
      <c r="S333" s="302"/>
      <c r="T333" s="413"/>
      <c r="U333" s="302"/>
      <c r="V333" s="302"/>
      <c r="W333" s="302"/>
      <c r="X333" s="302"/>
      <c r="Y333" s="302"/>
      <c r="Z333" s="302"/>
      <c r="AA333" s="302"/>
    </row>
    <row r="334" spans="1:27" ht="16" x14ac:dyDescent="0.2">
      <c r="A334" s="302"/>
      <c r="B334" s="302"/>
      <c r="C334" s="302"/>
      <c r="D334" s="302"/>
      <c r="E334" s="302"/>
      <c r="F334" s="302"/>
      <c r="G334" s="302"/>
      <c r="H334" s="302"/>
      <c r="I334" s="302"/>
      <c r="J334" s="302"/>
      <c r="K334" s="302"/>
      <c r="L334" s="302"/>
      <c r="M334" s="302"/>
      <c r="N334" s="302"/>
      <c r="O334" s="302"/>
      <c r="P334" s="302"/>
      <c r="Q334" s="302"/>
      <c r="R334" s="302"/>
      <c r="S334" s="302"/>
      <c r="T334" s="413"/>
      <c r="U334" s="302"/>
      <c r="V334" s="302"/>
      <c r="W334" s="302"/>
      <c r="X334" s="302"/>
      <c r="Y334" s="302"/>
      <c r="Z334" s="302"/>
      <c r="AA334" s="302"/>
    </row>
    <row r="335" spans="1:27" ht="16" x14ac:dyDescent="0.2">
      <c r="A335" s="302"/>
      <c r="B335" s="302"/>
      <c r="C335" s="302"/>
      <c r="D335" s="302"/>
      <c r="E335" s="302"/>
      <c r="F335" s="302"/>
      <c r="G335" s="302"/>
      <c r="H335" s="302"/>
      <c r="I335" s="302"/>
      <c r="J335" s="302"/>
      <c r="K335" s="302"/>
      <c r="L335" s="302"/>
      <c r="M335" s="302"/>
      <c r="N335" s="302"/>
      <c r="O335" s="302"/>
      <c r="P335" s="302"/>
      <c r="Q335" s="302"/>
      <c r="R335" s="302"/>
      <c r="S335" s="302"/>
      <c r="T335" s="413"/>
      <c r="U335" s="302"/>
      <c r="V335" s="302"/>
      <c r="W335" s="302"/>
      <c r="X335" s="302"/>
      <c r="Y335" s="302"/>
      <c r="Z335" s="302"/>
      <c r="AA335" s="302"/>
    </row>
    <row r="336" spans="1:27" ht="16" x14ac:dyDescent="0.2">
      <c r="A336" s="302"/>
      <c r="B336" s="302"/>
      <c r="C336" s="302"/>
      <c r="D336" s="302"/>
      <c r="E336" s="302"/>
      <c r="F336" s="302"/>
      <c r="G336" s="302"/>
      <c r="H336" s="302"/>
      <c r="I336" s="302"/>
      <c r="J336" s="302"/>
      <c r="K336" s="302"/>
      <c r="L336" s="302"/>
      <c r="M336" s="302"/>
      <c r="N336" s="302"/>
      <c r="O336" s="302"/>
      <c r="P336" s="302"/>
      <c r="Q336" s="302"/>
      <c r="R336" s="302"/>
      <c r="S336" s="302"/>
      <c r="T336" s="413"/>
      <c r="U336" s="302"/>
      <c r="V336" s="302"/>
      <c r="W336" s="302"/>
      <c r="X336" s="302"/>
      <c r="Y336" s="302"/>
      <c r="Z336" s="302"/>
      <c r="AA336" s="302"/>
    </row>
    <row r="337" spans="1:27" ht="16" x14ac:dyDescent="0.2">
      <c r="A337" s="302"/>
      <c r="B337" s="302"/>
      <c r="C337" s="302"/>
      <c r="D337" s="302"/>
      <c r="E337" s="302"/>
      <c r="F337" s="302"/>
      <c r="G337" s="302"/>
      <c r="H337" s="302"/>
      <c r="I337" s="302"/>
      <c r="J337" s="302"/>
      <c r="K337" s="302"/>
      <c r="L337" s="302"/>
      <c r="M337" s="302"/>
      <c r="N337" s="302"/>
      <c r="O337" s="302"/>
      <c r="P337" s="302"/>
      <c r="Q337" s="302"/>
      <c r="R337" s="302"/>
      <c r="S337" s="302"/>
      <c r="T337" s="413"/>
      <c r="U337" s="302"/>
      <c r="V337" s="302"/>
      <c r="W337" s="302"/>
      <c r="X337" s="302"/>
      <c r="Y337" s="302"/>
      <c r="Z337" s="302"/>
      <c r="AA337" s="302"/>
    </row>
    <row r="338" spans="1:27" ht="16" x14ac:dyDescent="0.2">
      <c r="A338" s="302"/>
      <c r="B338" s="302"/>
      <c r="C338" s="302"/>
      <c r="D338" s="302"/>
      <c r="E338" s="302"/>
      <c r="F338" s="302"/>
      <c r="G338" s="302"/>
      <c r="H338" s="302"/>
      <c r="I338" s="302"/>
      <c r="J338" s="302"/>
      <c r="K338" s="302"/>
      <c r="L338" s="302"/>
      <c r="M338" s="302"/>
      <c r="N338" s="302"/>
      <c r="O338" s="302"/>
      <c r="P338" s="302"/>
      <c r="Q338" s="302"/>
      <c r="R338" s="302"/>
      <c r="S338" s="302"/>
      <c r="T338" s="413"/>
      <c r="U338" s="302"/>
      <c r="V338" s="302"/>
      <c r="W338" s="302"/>
      <c r="X338" s="302"/>
      <c r="Y338" s="302"/>
      <c r="Z338" s="302"/>
      <c r="AA338" s="302"/>
    </row>
    <row r="339" spans="1:27" ht="16" x14ac:dyDescent="0.2">
      <c r="A339" s="302"/>
      <c r="B339" s="302"/>
      <c r="C339" s="302"/>
      <c r="D339" s="302"/>
      <c r="E339" s="302"/>
      <c r="F339" s="302"/>
      <c r="G339" s="302"/>
      <c r="H339" s="302"/>
      <c r="I339" s="302"/>
      <c r="J339" s="302"/>
      <c r="K339" s="302"/>
      <c r="L339" s="302"/>
      <c r="M339" s="302"/>
      <c r="N339" s="302"/>
      <c r="O339" s="302"/>
      <c r="P339" s="302"/>
      <c r="Q339" s="302"/>
      <c r="R339" s="302"/>
      <c r="S339" s="302"/>
      <c r="T339" s="413"/>
      <c r="U339" s="302"/>
      <c r="V339" s="302"/>
      <c r="W339" s="302"/>
      <c r="X339" s="302"/>
      <c r="Y339" s="302"/>
      <c r="Z339" s="302"/>
      <c r="AA339" s="302"/>
    </row>
    <row r="340" spans="1:27" ht="16" x14ac:dyDescent="0.2">
      <c r="A340" s="302"/>
      <c r="B340" s="302"/>
      <c r="C340" s="302"/>
      <c r="D340" s="302"/>
      <c r="E340" s="302"/>
      <c r="F340" s="302"/>
      <c r="G340" s="302"/>
      <c r="H340" s="302"/>
      <c r="I340" s="302"/>
      <c r="J340" s="302"/>
      <c r="K340" s="302"/>
      <c r="L340" s="302"/>
      <c r="M340" s="302"/>
      <c r="N340" s="302"/>
      <c r="O340" s="302"/>
      <c r="P340" s="302"/>
      <c r="Q340" s="302"/>
      <c r="R340" s="302"/>
      <c r="S340" s="302"/>
      <c r="T340" s="413"/>
      <c r="U340" s="302"/>
      <c r="V340" s="302"/>
      <c r="W340" s="302"/>
      <c r="X340" s="302"/>
      <c r="Y340" s="302"/>
      <c r="Z340" s="302"/>
      <c r="AA340" s="302"/>
    </row>
    <row r="341" spans="1:27" ht="16" x14ac:dyDescent="0.2">
      <c r="A341" s="302"/>
      <c r="B341" s="302"/>
      <c r="C341" s="302"/>
      <c r="D341" s="302"/>
      <c r="E341" s="302"/>
      <c r="F341" s="302"/>
      <c r="G341" s="302"/>
      <c r="H341" s="302"/>
      <c r="I341" s="302"/>
      <c r="J341" s="302"/>
      <c r="K341" s="302"/>
      <c r="L341" s="302"/>
      <c r="M341" s="302"/>
      <c r="N341" s="302"/>
      <c r="O341" s="302"/>
      <c r="P341" s="302"/>
      <c r="Q341" s="302"/>
      <c r="R341" s="302"/>
      <c r="S341" s="302"/>
      <c r="T341" s="413"/>
      <c r="U341" s="302"/>
      <c r="V341" s="302"/>
      <c r="W341" s="302"/>
      <c r="X341" s="302"/>
      <c r="Y341" s="302"/>
      <c r="Z341" s="302"/>
      <c r="AA341" s="302"/>
    </row>
    <row r="342" spans="1:27" ht="16" x14ac:dyDescent="0.2">
      <c r="A342" s="302"/>
      <c r="B342" s="302"/>
      <c r="C342" s="302"/>
      <c r="D342" s="302"/>
      <c r="E342" s="302"/>
      <c r="F342" s="302"/>
      <c r="G342" s="302"/>
      <c r="H342" s="302"/>
      <c r="I342" s="302"/>
      <c r="J342" s="302"/>
      <c r="K342" s="302"/>
      <c r="L342" s="302"/>
      <c r="M342" s="302"/>
      <c r="N342" s="302"/>
      <c r="O342" s="302"/>
      <c r="P342" s="302"/>
      <c r="Q342" s="302"/>
      <c r="R342" s="302"/>
      <c r="S342" s="302"/>
      <c r="T342" s="413"/>
      <c r="U342" s="302"/>
      <c r="V342" s="302"/>
      <c r="W342" s="302"/>
      <c r="X342" s="302"/>
      <c r="Y342" s="302"/>
      <c r="Z342" s="302"/>
      <c r="AA342" s="302"/>
    </row>
    <row r="343" spans="1:27" ht="16" x14ac:dyDescent="0.2">
      <c r="A343" s="302"/>
      <c r="B343" s="302"/>
      <c r="C343" s="302"/>
      <c r="D343" s="302"/>
      <c r="E343" s="302"/>
      <c r="F343" s="302"/>
      <c r="G343" s="302"/>
      <c r="H343" s="302"/>
      <c r="I343" s="302"/>
      <c r="J343" s="302"/>
      <c r="K343" s="302"/>
      <c r="L343" s="302"/>
      <c r="M343" s="302"/>
      <c r="N343" s="302"/>
      <c r="O343" s="302"/>
      <c r="P343" s="302"/>
      <c r="Q343" s="302"/>
      <c r="R343" s="302"/>
      <c r="S343" s="302"/>
      <c r="T343" s="413"/>
      <c r="U343" s="302"/>
      <c r="V343" s="302"/>
      <c r="W343" s="302"/>
      <c r="X343" s="302"/>
      <c r="Y343" s="302"/>
      <c r="Z343" s="302"/>
      <c r="AA343" s="302"/>
    </row>
    <row r="344" spans="1:27" ht="16" x14ac:dyDescent="0.2">
      <c r="A344" s="302"/>
      <c r="B344" s="302"/>
      <c r="C344" s="302"/>
      <c r="D344" s="302"/>
      <c r="E344" s="302"/>
      <c r="F344" s="302"/>
      <c r="G344" s="302"/>
      <c r="H344" s="302"/>
      <c r="I344" s="302"/>
      <c r="J344" s="302"/>
      <c r="K344" s="302"/>
      <c r="L344" s="302"/>
      <c r="M344" s="302"/>
      <c r="N344" s="302"/>
      <c r="O344" s="302"/>
      <c r="P344" s="302"/>
      <c r="Q344" s="302"/>
      <c r="R344" s="302"/>
      <c r="S344" s="302"/>
      <c r="T344" s="413"/>
      <c r="U344" s="302"/>
      <c r="V344" s="302"/>
      <c r="W344" s="302"/>
      <c r="X344" s="302"/>
      <c r="Y344" s="302"/>
      <c r="Z344" s="302"/>
      <c r="AA344" s="302"/>
    </row>
    <row r="345" spans="1:27" ht="16" x14ac:dyDescent="0.2">
      <c r="A345" s="302"/>
      <c r="B345" s="302"/>
      <c r="C345" s="302"/>
      <c r="D345" s="302"/>
      <c r="E345" s="302"/>
      <c r="F345" s="302"/>
      <c r="G345" s="302"/>
      <c r="H345" s="302"/>
      <c r="I345" s="302"/>
      <c r="J345" s="302"/>
      <c r="K345" s="302"/>
      <c r="L345" s="302"/>
      <c r="M345" s="302"/>
      <c r="N345" s="302"/>
      <c r="O345" s="302"/>
      <c r="P345" s="302"/>
      <c r="Q345" s="302"/>
      <c r="R345" s="302"/>
      <c r="S345" s="302"/>
      <c r="T345" s="413"/>
      <c r="U345" s="302"/>
      <c r="V345" s="302"/>
      <c r="W345" s="302"/>
      <c r="X345" s="302"/>
      <c r="Y345" s="302"/>
      <c r="Z345" s="302"/>
      <c r="AA345" s="302"/>
    </row>
    <row r="346" spans="1:27" ht="16" x14ac:dyDescent="0.2">
      <c r="A346" s="302"/>
      <c r="B346" s="302"/>
      <c r="C346" s="302"/>
      <c r="D346" s="302"/>
      <c r="E346" s="302"/>
      <c r="F346" s="302"/>
      <c r="G346" s="302"/>
      <c r="H346" s="302"/>
      <c r="I346" s="302"/>
      <c r="J346" s="302"/>
      <c r="K346" s="302"/>
      <c r="L346" s="302"/>
      <c r="M346" s="302"/>
      <c r="N346" s="302"/>
      <c r="O346" s="302"/>
      <c r="P346" s="302"/>
      <c r="Q346" s="302"/>
      <c r="R346" s="302"/>
      <c r="S346" s="302"/>
      <c r="T346" s="413"/>
      <c r="U346" s="302"/>
      <c r="V346" s="302"/>
      <c r="W346" s="302"/>
      <c r="X346" s="302"/>
      <c r="Y346" s="302"/>
      <c r="Z346" s="302"/>
      <c r="AA346" s="302"/>
    </row>
    <row r="347" spans="1:27" ht="16" x14ac:dyDescent="0.2">
      <c r="A347" s="302"/>
      <c r="B347" s="302"/>
      <c r="C347" s="302"/>
      <c r="D347" s="302"/>
      <c r="E347" s="302"/>
      <c r="F347" s="302"/>
      <c r="G347" s="302"/>
      <c r="H347" s="302"/>
      <c r="I347" s="302"/>
      <c r="J347" s="302"/>
      <c r="K347" s="302"/>
      <c r="L347" s="302"/>
      <c r="M347" s="302"/>
      <c r="N347" s="302"/>
      <c r="O347" s="302"/>
      <c r="P347" s="302"/>
      <c r="Q347" s="302"/>
      <c r="R347" s="302"/>
      <c r="S347" s="302"/>
      <c r="T347" s="413"/>
      <c r="U347" s="302"/>
      <c r="V347" s="302"/>
      <c r="W347" s="302"/>
      <c r="X347" s="302"/>
      <c r="Y347" s="302"/>
      <c r="Z347" s="302"/>
      <c r="AA347" s="302"/>
    </row>
    <row r="348" spans="1:27" ht="16" x14ac:dyDescent="0.2">
      <c r="A348" s="302"/>
      <c r="B348" s="302"/>
      <c r="C348" s="302"/>
      <c r="D348" s="302"/>
      <c r="E348" s="302"/>
      <c r="F348" s="302"/>
      <c r="G348" s="302"/>
      <c r="H348" s="302"/>
      <c r="I348" s="302"/>
      <c r="J348" s="302"/>
      <c r="K348" s="302"/>
      <c r="L348" s="302"/>
      <c r="M348" s="302"/>
      <c r="N348" s="302"/>
      <c r="O348" s="302"/>
      <c r="P348" s="302"/>
      <c r="Q348" s="302"/>
      <c r="R348" s="302"/>
      <c r="S348" s="302"/>
      <c r="T348" s="413"/>
      <c r="U348" s="302"/>
      <c r="V348" s="302"/>
      <c r="W348" s="302"/>
      <c r="X348" s="302"/>
      <c r="Y348" s="302"/>
      <c r="Z348" s="302"/>
      <c r="AA348" s="302"/>
    </row>
    <row r="349" spans="1:27" ht="16" x14ac:dyDescent="0.2">
      <c r="A349" s="302"/>
      <c r="B349" s="302"/>
      <c r="C349" s="302"/>
      <c r="D349" s="302"/>
      <c r="E349" s="302"/>
      <c r="F349" s="302"/>
      <c r="G349" s="302"/>
      <c r="H349" s="302"/>
      <c r="I349" s="302"/>
      <c r="J349" s="302"/>
      <c r="K349" s="302"/>
      <c r="L349" s="302"/>
      <c r="M349" s="302"/>
      <c r="N349" s="302"/>
      <c r="O349" s="302"/>
      <c r="P349" s="302"/>
      <c r="Q349" s="302"/>
      <c r="R349" s="302"/>
      <c r="S349" s="302"/>
      <c r="T349" s="413"/>
      <c r="U349" s="302"/>
      <c r="V349" s="302"/>
      <c r="W349" s="302"/>
      <c r="X349" s="302"/>
      <c r="Y349" s="302"/>
      <c r="Z349" s="302"/>
      <c r="AA349" s="302"/>
    </row>
    <row r="350" spans="1:27" ht="16" x14ac:dyDescent="0.2">
      <c r="A350" s="302"/>
      <c r="B350" s="302"/>
      <c r="C350" s="302"/>
      <c r="D350" s="302"/>
      <c r="E350" s="302"/>
      <c r="F350" s="302"/>
      <c r="G350" s="302"/>
      <c r="H350" s="302"/>
      <c r="I350" s="302"/>
      <c r="J350" s="302"/>
      <c r="K350" s="302"/>
      <c r="L350" s="302"/>
      <c r="M350" s="302"/>
      <c r="N350" s="302"/>
      <c r="O350" s="302"/>
      <c r="P350" s="302"/>
      <c r="Q350" s="302"/>
      <c r="R350" s="302"/>
      <c r="S350" s="302"/>
      <c r="T350" s="413"/>
      <c r="U350" s="302"/>
      <c r="V350" s="302"/>
      <c r="W350" s="302"/>
      <c r="X350" s="302"/>
      <c r="Y350" s="302"/>
      <c r="Z350" s="302"/>
      <c r="AA350" s="302"/>
    </row>
    <row r="351" spans="1:27" ht="16" x14ac:dyDescent="0.2">
      <c r="A351" s="302"/>
      <c r="B351" s="302"/>
      <c r="C351" s="302"/>
      <c r="D351" s="302"/>
      <c r="E351" s="302"/>
      <c r="F351" s="302"/>
      <c r="G351" s="302"/>
      <c r="H351" s="302"/>
      <c r="I351" s="302"/>
      <c r="J351" s="302"/>
      <c r="K351" s="302"/>
      <c r="L351" s="302"/>
      <c r="M351" s="302"/>
      <c r="N351" s="302"/>
      <c r="O351" s="302"/>
      <c r="P351" s="302"/>
      <c r="Q351" s="302"/>
      <c r="R351" s="302"/>
      <c r="S351" s="302"/>
      <c r="T351" s="413"/>
      <c r="U351" s="302"/>
      <c r="V351" s="302"/>
      <c r="W351" s="302"/>
      <c r="X351" s="302"/>
      <c r="Y351" s="302"/>
      <c r="Z351" s="302"/>
      <c r="AA351" s="302"/>
    </row>
    <row r="352" spans="1:27" ht="16" x14ac:dyDescent="0.2">
      <c r="A352" s="302"/>
      <c r="B352" s="302"/>
      <c r="C352" s="302"/>
      <c r="D352" s="302"/>
      <c r="E352" s="302"/>
      <c r="F352" s="302"/>
      <c r="G352" s="302"/>
      <c r="H352" s="302"/>
      <c r="I352" s="302"/>
      <c r="J352" s="302"/>
      <c r="K352" s="302"/>
      <c r="L352" s="302"/>
      <c r="M352" s="302"/>
      <c r="N352" s="302"/>
      <c r="O352" s="302"/>
      <c r="P352" s="302"/>
      <c r="Q352" s="302"/>
      <c r="R352" s="302"/>
      <c r="S352" s="302"/>
      <c r="T352" s="413"/>
      <c r="U352" s="302"/>
      <c r="V352" s="302"/>
      <c r="W352" s="302"/>
      <c r="X352" s="302"/>
      <c r="Y352" s="302"/>
      <c r="Z352" s="302"/>
      <c r="AA352" s="302"/>
    </row>
    <row r="353" spans="1:27" ht="16" x14ac:dyDescent="0.2">
      <c r="A353" s="302"/>
      <c r="B353" s="302"/>
      <c r="C353" s="302"/>
      <c r="D353" s="302"/>
      <c r="E353" s="302"/>
      <c r="F353" s="302"/>
      <c r="G353" s="302"/>
      <c r="H353" s="302"/>
      <c r="I353" s="302"/>
      <c r="J353" s="302"/>
      <c r="K353" s="302"/>
      <c r="L353" s="302"/>
      <c r="M353" s="302"/>
      <c r="N353" s="302"/>
      <c r="O353" s="302"/>
      <c r="P353" s="302"/>
      <c r="Q353" s="302"/>
      <c r="R353" s="302"/>
      <c r="S353" s="302"/>
      <c r="T353" s="413"/>
      <c r="U353" s="302"/>
      <c r="V353" s="302"/>
      <c r="W353" s="302"/>
      <c r="X353" s="302"/>
      <c r="Y353" s="302"/>
      <c r="Z353" s="302"/>
      <c r="AA353" s="302"/>
    </row>
    <row r="354" spans="1:27" ht="16" x14ac:dyDescent="0.2">
      <c r="A354" s="302"/>
      <c r="B354" s="302"/>
      <c r="C354" s="302"/>
      <c r="D354" s="302"/>
      <c r="E354" s="302"/>
      <c r="F354" s="302"/>
      <c r="G354" s="302"/>
      <c r="H354" s="302"/>
      <c r="I354" s="302"/>
      <c r="J354" s="302"/>
      <c r="K354" s="302"/>
      <c r="L354" s="302"/>
      <c r="M354" s="302"/>
      <c r="N354" s="302"/>
      <c r="O354" s="302"/>
      <c r="P354" s="302"/>
      <c r="Q354" s="302"/>
      <c r="R354" s="302"/>
      <c r="S354" s="302"/>
      <c r="T354" s="413"/>
      <c r="U354" s="302"/>
      <c r="V354" s="302"/>
      <c r="W354" s="302"/>
      <c r="X354" s="302"/>
      <c r="Y354" s="302"/>
      <c r="Z354" s="302"/>
      <c r="AA354" s="302"/>
    </row>
    <row r="355" spans="1:27" ht="16" x14ac:dyDescent="0.2">
      <c r="A355" s="302"/>
      <c r="B355" s="302"/>
      <c r="C355" s="302"/>
      <c r="D355" s="302"/>
      <c r="E355" s="302"/>
      <c r="F355" s="302"/>
      <c r="G355" s="302"/>
      <c r="H355" s="302"/>
      <c r="I355" s="302"/>
      <c r="J355" s="302"/>
      <c r="K355" s="302"/>
      <c r="L355" s="302"/>
      <c r="M355" s="302"/>
      <c r="N355" s="302"/>
      <c r="O355" s="302"/>
      <c r="P355" s="302"/>
      <c r="Q355" s="302"/>
      <c r="R355" s="302"/>
      <c r="S355" s="302"/>
      <c r="T355" s="413"/>
      <c r="U355" s="302"/>
      <c r="V355" s="302"/>
      <c r="W355" s="302"/>
      <c r="X355" s="302"/>
      <c r="Y355" s="302"/>
      <c r="Z355" s="302"/>
      <c r="AA355" s="302"/>
    </row>
    <row r="356" spans="1:27" ht="16" x14ac:dyDescent="0.2">
      <c r="A356" s="302"/>
      <c r="B356" s="302"/>
      <c r="C356" s="302"/>
      <c r="D356" s="302"/>
      <c r="E356" s="302"/>
      <c r="F356" s="302"/>
      <c r="G356" s="302"/>
      <c r="H356" s="302"/>
      <c r="I356" s="302"/>
      <c r="J356" s="302"/>
      <c r="K356" s="302"/>
      <c r="L356" s="302"/>
      <c r="M356" s="302"/>
      <c r="N356" s="302"/>
      <c r="O356" s="302"/>
      <c r="P356" s="302"/>
      <c r="Q356" s="302"/>
      <c r="R356" s="302"/>
      <c r="S356" s="302"/>
      <c r="T356" s="413"/>
      <c r="U356" s="302"/>
      <c r="V356" s="302"/>
      <c r="W356" s="302"/>
      <c r="X356" s="302"/>
      <c r="Y356" s="302"/>
      <c r="Z356" s="302"/>
      <c r="AA356" s="302"/>
    </row>
    <row r="357" spans="1:27" ht="16" x14ac:dyDescent="0.2">
      <c r="A357" s="302"/>
      <c r="B357" s="302"/>
      <c r="C357" s="302"/>
      <c r="D357" s="302"/>
      <c r="E357" s="302"/>
      <c r="F357" s="302"/>
      <c r="G357" s="302"/>
      <c r="H357" s="302"/>
      <c r="I357" s="302"/>
      <c r="J357" s="302"/>
      <c r="K357" s="302"/>
      <c r="L357" s="302"/>
      <c r="M357" s="302"/>
      <c r="N357" s="302"/>
      <c r="O357" s="302"/>
      <c r="P357" s="302"/>
      <c r="Q357" s="302"/>
      <c r="R357" s="302"/>
      <c r="S357" s="302"/>
      <c r="T357" s="413"/>
      <c r="U357" s="302"/>
      <c r="V357" s="302"/>
      <c r="W357" s="302"/>
      <c r="X357" s="302"/>
      <c r="Y357" s="302"/>
      <c r="Z357" s="302"/>
      <c r="AA357" s="302"/>
    </row>
    <row r="358" spans="1:27" ht="16" x14ac:dyDescent="0.2">
      <c r="A358" s="302"/>
      <c r="B358" s="302"/>
      <c r="C358" s="302"/>
      <c r="D358" s="302"/>
      <c r="E358" s="302"/>
      <c r="F358" s="302"/>
      <c r="G358" s="302"/>
      <c r="H358" s="302"/>
      <c r="I358" s="302"/>
      <c r="J358" s="302"/>
      <c r="K358" s="302"/>
      <c r="L358" s="302"/>
      <c r="M358" s="302"/>
      <c r="N358" s="302"/>
      <c r="O358" s="302"/>
      <c r="P358" s="302"/>
      <c r="Q358" s="302"/>
      <c r="R358" s="302"/>
      <c r="S358" s="302"/>
      <c r="T358" s="413"/>
      <c r="U358" s="302"/>
      <c r="V358" s="302"/>
      <c r="W358" s="302"/>
      <c r="X358" s="302"/>
      <c r="Y358" s="302"/>
      <c r="Z358" s="302"/>
      <c r="AA358" s="302"/>
    </row>
    <row r="359" spans="1:27" ht="16" x14ac:dyDescent="0.2">
      <c r="A359" s="302"/>
      <c r="B359" s="302"/>
      <c r="C359" s="302"/>
      <c r="D359" s="302"/>
      <c r="E359" s="302"/>
      <c r="F359" s="302"/>
      <c r="G359" s="302"/>
      <c r="H359" s="302"/>
      <c r="I359" s="302"/>
      <c r="J359" s="302"/>
      <c r="K359" s="302"/>
      <c r="L359" s="302"/>
      <c r="M359" s="302"/>
      <c r="N359" s="302"/>
      <c r="O359" s="302"/>
      <c r="P359" s="302"/>
      <c r="Q359" s="302"/>
      <c r="R359" s="302"/>
      <c r="S359" s="302"/>
      <c r="T359" s="413"/>
      <c r="U359" s="302"/>
      <c r="V359" s="302"/>
      <c r="W359" s="302"/>
      <c r="X359" s="302"/>
      <c r="Y359" s="302"/>
      <c r="Z359" s="302"/>
      <c r="AA359" s="302"/>
    </row>
    <row r="360" spans="1:27" ht="16" x14ac:dyDescent="0.2">
      <c r="A360" s="302"/>
      <c r="B360" s="302"/>
      <c r="C360" s="302"/>
      <c r="D360" s="302"/>
      <c r="E360" s="302"/>
      <c r="F360" s="302"/>
      <c r="G360" s="302"/>
      <c r="H360" s="302"/>
      <c r="I360" s="302"/>
      <c r="J360" s="302"/>
      <c r="K360" s="302"/>
      <c r="L360" s="302"/>
      <c r="M360" s="302"/>
      <c r="N360" s="302"/>
      <c r="O360" s="302"/>
      <c r="P360" s="302"/>
      <c r="Q360" s="302"/>
      <c r="R360" s="302"/>
      <c r="S360" s="302"/>
      <c r="T360" s="413"/>
      <c r="U360" s="302"/>
      <c r="V360" s="302"/>
      <c r="W360" s="302"/>
      <c r="X360" s="302"/>
      <c r="Y360" s="302"/>
      <c r="Z360" s="302"/>
      <c r="AA360" s="302"/>
    </row>
    <row r="361" spans="1:27" ht="16" x14ac:dyDescent="0.2">
      <c r="A361" s="302"/>
      <c r="B361" s="302"/>
      <c r="C361" s="302"/>
      <c r="D361" s="302"/>
      <c r="E361" s="302"/>
      <c r="F361" s="302"/>
      <c r="G361" s="302"/>
      <c r="H361" s="302"/>
      <c r="I361" s="302"/>
      <c r="J361" s="302"/>
      <c r="K361" s="302"/>
      <c r="L361" s="302"/>
      <c r="M361" s="302"/>
      <c r="N361" s="302"/>
      <c r="O361" s="302"/>
      <c r="P361" s="302"/>
      <c r="Q361" s="302"/>
      <c r="R361" s="302"/>
      <c r="S361" s="302"/>
      <c r="T361" s="413"/>
      <c r="U361" s="302"/>
      <c r="V361" s="302"/>
      <c r="W361" s="302"/>
      <c r="X361" s="302"/>
      <c r="Y361" s="302"/>
      <c r="Z361" s="302"/>
      <c r="AA361" s="302"/>
    </row>
    <row r="362" spans="1:27" ht="16" x14ac:dyDescent="0.2">
      <c r="A362" s="302"/>
      <c r="B362" s="302"/>
      <c r="C362" s="302"/>
      <c r="D362" s="302"/>
      <c r="E362" s="302"/>
      <c r="F362" s="302"/>
      <c r="G362" s="302"/>
      <c r="H362" s="302"/>
      <c r="I362" s="302"/>
      <c r="J362" s="302"/>
      <c r="K362" s="302"/>
      <c r="L362" s="302"/>
      <c r="M362" s="302"/>
      <c r="N362" s="302"/>
      <c r="O362" s="302"/>
      <c r="P362" s="302"/>
      <c r="Q362" s="302"/>
      <c r="R362" s="302"/>
      <c r="S362" s="302"/>
      <c r="T362" s="413"/>
      <c r="U362" s="302"/>
      <c r="V362" s="302"/>
      <c r="W362" s="302"/>
      <c r="X362" s="302"/>
      <c r="Y362" s="302"/>
      <c r="Z362" s="302"/>
      <c r="AA362" s="302"/>
    </row>
    <row r="363" spans="1:27" ht="16" x14ac:dyDescent="0.2">
      <c r="A363" s="302"/>
      <c r="B363" s="302"/>
      <c r="C363" s="302"/>
      <c r="D363" s="302"/>
      <c r="E363" s="302"/>
      <c r="F363" s="302"/>
      <c r="G363" s="302"/>
      <c r="H363" s="302"/>
      <c r="I363" s="302"/>
      <c r="J363" s="302"/>
      <c r="K363" s="302"/>
      <c r="L363" s="302"/>
      <c r="M363" s="302"/>
      <c r="N363" s="302"/>
      <c r="O363" s="302"/>
      <c r="P363" s="302"/>
      <c r="Q363" s="302"/>
      <c r="R363" s="302"/>
      <c r="S363" s="302"/>
      <c r="T363" s="413"/>
      <c r="U363" s="302"/>
      <c r="V363" s="302"/>
      <c r="W363" s="302"/>
      <c r="X363" s="302"/>
      <c r="Y363" s="302"/>
      <c r="Z363" s="302"/>
      <c r="AA363" s="302"/>
    </row>
    <row r="364" spans="1:27" ht="16" x14ac:dyDescent="0.2">
      <c r="A364" s="302"/>
      <c r="B364" s="302"/>
      <c r="C364" s="302"/>
      <c r="D364" s="302"/>
      <c r="E364" s="302"/>
      <c r="F364" s="302"/>
      <c r="G364" s="302"/>
      <c r="H364" s="302"/>
      <c r="I364" s="302"/>
      <c r="J364" s="302"/>
      <c r="K364" s="302"/>
      <c r="L364" s="302"/>
      <c r="M364" s="302"/>
      <c r="N364" s="302"/>
      <c r="O364" s="302"/>
      <c r="P364" s="302"/>
      <c r="Q364" s="302"/>
      <c r="R364" s="302"/>
      <c r="S364" s="302"/>
      <c r="T364" s="413"/>
      <c r="U364" s="302"/>
      <c r="V364" s="302"/>
      <c r="W364" s="302"/>
      <c r="X364" s="302"/>
      <c r="Y364" s="302"/>
      <c r="Z364" s="302"/>
      <c r="AA364" s="302"/>
    </row>
    <row r="365" spans="1:27" ht="16" x14ac:dyDescent="0.2">
      <c r="A365" s="302"/>
      <c r="B365" s="302"/>
      <c r="C365" s="302"/>
      <c r="D365" s="302"/>
      <c r="E365" s="302"/>
      <c r="F365" s="302"/>
      <c r="G365" s="302"/>
      <c r="H365" s="302"/>
      <c r="I365" s="302"/>
      <c r="J365" s="302"/>
      <c r="K365" s="302"/>
      <c r="L365" s="302"/>
      <c r="M365" s="302"/>
      <c r="N365" s="302"/>
      <c r="O365" s="302"/>
      <c r="P365" s="302"/>
      <c r="Q365" s="302"/>
      <c r="R365" s="302"/>
      <c r="S365" s="302"/>
      <c r="T365" s="413"/>
      <c r="U365" s="302"/>
      <c r="V365" s="302"/>
      <c r="W365" s="302"/>
      <c r="X365" s="302"/>
      <c r="Y365" s="302"/>
      <c r="Z365" s="302"/>
      <c r="AA365" s="302"/>
    </row>
    <row r="366" spans="1:27" ht="16" x14ac:dyDescent="0.2">
      <c r="A366" s="302"/>
      <c r="B366" s="302"/>
      <c r="C366" s="302"/>
      <c r="D366" s="302"/>
      <c r="E366" s="302"/>
      <c r="F366" s="302"/>
      <c r="G366" s="302"/>
      <c r="H366" s="302"/>
      <c r="I366" s="302"/>
      <c r="J366" s="302"/>
      <c r="K366" s="302"/>
      <c r="L366" s="302"/>
      <c r="M366" s="302"/>
      <c r="N366" s="302"/>
      <c r="O366" s="302"/>
      <c r="P366" s="302"/>
      <c r="Q366" s="302"/>
      <c r="R366" s="302"/>
      <c r="S366" s="302"/>
      <c r="T366" s="413"/>
      <c r="U366" s="302"/>
      <c r="V366" s="302"/>
      <c r="W366" s="302"/>
      <c r="X366" s="302"/>
      <c r="Y366" s="302"/>
      <c r="Z366" s="302"/>
      <c r="AA366" s="302"/>
    </row>
    <row r="367" spans="1:27" ht="16" x14ac:dyDescent="0.2">
      <c r="A367" s="302"/>
      <c r="B367" s="302"/>
      <c r="C367" s="302"/>
      <c r="D367" s="302"/>
      <c r="E367" s="302"/>
      <c r="F367" s="302"/>
      <c r="G367" s="302"/>
      <c r="H367" s="302"/>
      <c r="I367" s="302"/>
      <c r="J367" s="302"/>
      <c r="K367" s="302"/>
      <c r="L367" s="302"/>
      <c r="M367" s="302"/>
      <c r="N367" s="302"/>
      <c r="O367" s="302"/>
      <c r="P367" s="302"/>
      <c r="Q367" s="302"/>
      <c r="R367" s="302"/>
      <c r="S367" s="302"/>
      <c r="T367" s="413"/>
      <c r="U367" s="302"/>
      <c r="V367" s="302"/>
      <c r="W367" s="302"/>
      <c r="X367" s="302"/>
      <c r="Y367" s="302"/>
      <c r="Z367" s="302"/>
      <c r="AA367" s="302"/>
    </row>
    <row r="368" spans="1:27" ht="16" x14ac:dyDescent="0.2">
      <c r="A368" s="302"/>
      <c r="B368" s="302"/>
      <c r="C368" s="302"/>
      <c r="D368" s="302"/>
      <c r="E368" s="302"/>
      <c r="F368" s="302"/>
      <c r="G368" s="302"/>
      <c r="H368" s="302"/>
      <c r="I368" s="302"/>
      <c r="J368" s="302"/>
      <c r="K368" s="302"/>
      <c r="L368" s="302"/>
      <c r="M368" s="302"/>
      <c r="N368" s="302"/>
      <c r="O368" s="302"/>
      <c r="P368" s="302"/>
      <c r="Q368" s="302"/>
      <c r="R368" s="302"/>
      <c r="S368" s="302"/>
      <c r="T368" s="413"/>
      <c r="U368" s="302"/>
      <c r="V368" s="302"/>
      <c r="W368" s="302"/>
      <c r="X368" s="302"/>
      <c r="Y368" s="302"/>
      <c r="Z368" s="302"/>
      <c r="AA368" s="302"/>
    </row>
    <row r="369" spans="1:27" ht="16" x14ac:dyDescent="0.2">
      <c r="A369" s="302"/>
      <c r="B369" s="302"/>
      <c r="C369" s="302"/>
      <c r="D369" s="302"/>
      <c r="E369" s="302"/>
      <c r="F369" s="302"/>
      <c r="G369" s="302"/>
      <c r="H369" s="302"/>
      <c r="I369" s="302"/>
      <c r="J369" s="302"/>
      <c r="K369" s="302"/>
      <c r="L369" s="302"/>
      <c r="M369" s="302"/>
      <c r="N369" s="302"/>
      <c r="O369" s="302"/>
      <c r="P369" s="302"/>
      <c r="Q369" s="302"/>
      <c r="R369" s="302"/>
      <c r="S369" s="302"/>
      <c r="T369" s="413"/>
      <c r="U369" s="302"/>
      <c r="V369" s="302"/>
      <c r="W369" s="302"/>
      <c r="X369" s="302"/>
      <c r="Y369" s="302"/>
      <c r="Z369" s="302"/>
      <c r="AA369" s="302"/>
    </row>
    <row r="370" spans="1:27" ht="16" x14ac:dyDescent="0.2">
      <c r="A370" s="302"/>
      <c r="B370" s="302"/>
      <c r="C370" s="302"/>
      <c r="D370" s="302"/>
      <c r="E370" s="302"/>
      <c r="F370" s="302"/>
      <c r="G370" s="302"/>
      <c r="H370" s="302"/>
      <c r="I370" s="302"/>
      <c r="J370" s="302"/>
      <c r="K370" s="302"/>
      <c r="L370" s="302"/>
      <c r="M370" s="302"/>
      <c r="N370" s="302"/>
      <c r="O370" s="302"/>
      <c r="P370" s="302"/>
      <c r="Q370" s="302"/>
      <c r="R370" s="302"/>
      <c r="S370" s="302"/>
      <c r="T370" s="413"/>
      <c r="U370" s="302"/>
      <c r="V370" s="302"/>
      <c r="W370" s="302"/>
      <c r="X370" s="302"/>
      <c r="Y370" s="302"/>
      <c r="Z370" s="302"/>
      <c r="AA370" s="302"/>
    </row>
    <row r="371" spans="1:27" ht="16" x14ac:dyDescent="0.2">
      <c r="A371" s="302"/>
      <c r="B371" s="302"/>
      <c r="C371" s="302"/>
      <c r="D371" s="302"/>
      <c r="E371" s="302"/>
      <c r="F371" s="302"/>
      <c r="G371" s="302"/>
      <c r="H371" s="302"/>
      <c r="I371" s="302"/>
      <c r="J371" s="302"/>
      <c r="K371" s="302"/>
      <c r="L371" s="302"/>
      <c r="M371" s="302"/>
      <c r="N371" s="302"/>
      <c r="O371" s="302"/>
      <c r="P371" s="302"/>
      <c r="Q371" s="302"/>
      <c r="R371" s="302"/>
      <c r="S371" s="302"/>
      <c r="T371" s="413"/>
      <c r="U371" s="302"/>
      <c r="V371" s="302"/>
      <c r="W371" s="302"/>
      <c r="X371" s="302"/>
      <c r="Y371" s="302"/>
      <c r="Z371" s="302"/>
      <c r="AA371" s="302"/>
    </row>
    <row r="372" spans="1:27" ht="16" x14ac:dyDescent="0.2">
      <c r="A372" s="302"/>
      <c r="B372" s="302"/>
      <c r="C372" s="302"/>
      <c r="D372" s="302"/>
      <c r="E372" s="302"/>
      <c r="F372" s="302"/>
      <c r="G372" s="302"/>
      <c r="H372" s="302"/>
      <c r="I372" s="302"/>
      <c r="J372" s="302"/>
      <c r="K372" s="302"/>
      <c r="L372" s="302"/>
      <c r="M372" s="302"/>
      <c r="N372" s="302"/>
      <c r="O372" s="302"/>
      <c r="P372" s="302"/>
      <c r="Q372" s="302"/>
      <c r="R372" s="302"/>
      <c r="S372" s="302"/>
      <c r="T372" s="413"/>
      <c r="U372" s="302"/>
      <c r="V372" s="302"/>
      <c r="W372" s="302"/>
      <c r="X372" s="302"/>
      <c r="Y372" s="302"/>
      <c r="Z372" s="302"/>
      <c r="AA372" s="302"/>
    </row>
    <row r="373" spans="1:27" ht="16" x14ac:dyDescent="0.2">
      <c r="A373" s="302"/>
      <c r="B373" s="302"/>
      <c r="C373" s="302"/>
      <c r="D373" s="302"/>
      <c r="E373" s="302"/>
      <c r="F373" s="302"/>
      <c r="G373" s="302"/>
      <c r="H373" s="302"/>
      <c r="I373" s="302"/>
      <c r="J373" s="302"/>
      <c r="K373" s="302"/>
      <c r="L373" s="302"/>
      <c r="M373" s="302"/>
      <c r="N373" s="302"/>
      <c r="O373" s="302"/>
      <c r="P373" s="302"/>
      <c r="Q373" s="302"/>
      <c r="R373" s="302"/>
      <c r="S373" s="302"/>
      <c r="T373" s="413"/>
      <c r="U373" s="302"/>
      <c r="V373" s="302"/>
      <c r="W373" s="302"/>
      <c r="X373" s="302"/>
      <c r="Y373" s="302"/>
      <c r="Z373" s="302"/>
      <c r="AA373" s="302"/>
    </row>
    <row r="374" spans="1:27" ht="16" x14ac:dyDescent="0.2">
      <c r="A374" s="302"/>
      <c r="B374" s="302"/>
      <c r="C374" s="302"/>
      <c r="D374" s="302"/>
      <c r="E374" s="302"/>
      <c r="F374" s="302"/>
      <c r="G374" s="302"/>
      <c r="H374" s="302"/>
      <c r="I374" s="302"/>
      <c r="J374" s="302"/>
      <c r="K374" s="302"/>
      <c r="L374" s="302"/>
      <c r="M374" s="302"/>
      <c r="N374" s="302"/>
      <c r="O374" s="302"/>
      <c r="P374" s="302"/>
      <c r="Q374" s="302"/>
      <c r="R374" s="302"/>
      <c r="S374" s="302"/>
      <c r="T374" s="413"/>
      <c r="U374" s="302"/>
      <c r="V374" s="302"/>
      <c r="W374" s="302"/>
      <c r="X374" s="302"/>
      <c r="Y374" s="302"/>
      <c r="Z374" s="302"/>
      <c r="AA374" s="302"/>
    </row>
    <row r="375" spans="1:27" ht="16" x14ac:dyDescent="0.2">
      <c r="A375" s="302"/>
      <c r="B375" s="302"/>
      <c r="C375" s="302"/>
      <c r="D375" s="302"/>
      <c r="E375" s="302"/>
      <c r="F375" s="302"/>
      <c r="G375" s="302"/>
      <c r="H375" s="302"/>
      <c r="I375" s="302"/>
      <c r="J375" s="302"/>
      <c r="K375" s="302"/>
      <c r="L375" s="302"/>
      <c r="M375" s="302"/>
      <c r="N375" s="302"/>
      <c r="O375" s="302"/>
      <c r="P375" s="302"/>
      <c r="Q375" s="302"/>
      <c r="R375" s="302"/>
      <c r="S375" s="302"/>
      <c r="T375" s="413"/>
      <c r="U375" s="302"/>
      <c r="V375" s="302"/>
      <c r="W375" s="302"/>
      <c r="X375" s="302"/>
      <c r="Y375" s="302"/>
      <c r="Z375" s="302"/>
      <c r="AA375" s="302"/>
    </row>
    <row r="376" spans="1:27" ht="16" x14ac:dyDescent="0.2">
      <c r="A376" s="302"/>
      <c r="B376" s="302"/>
      <c r="C376" s="302"/>
      <c r="D376" s="302"/>
      <c r="E376" s="302"/>
      <c r="F376" s="302"/>
      <c r="G376" s="302"/>
      <c r="H376" s="302"/>
      <c r="I376" s="302"/>
      <c r="J376" s="302"/>
      <c r="K376" s="302"/>
      <c r="L376" s="302"/>
      <c r="M376" s="302"/>
      <c r="N376" s="302"/>
      <c r="O376" s="302"/>
      <c r="P376" s="302"/>
      <c r="Q376" s="302"/>
      <c r="R376" s="302"/>
      <c r="S376" s="302"/>
      <c r="T376" s="413"/>
      <c r="U376" s="302"/>
      <c r="V376" s="302"/>
      <c r="W376" s="302"/>
      <c r="X376" s="302"/>
      <c r="Y376" s="302"/>
      <c r="Z376" s="302"/>
      <c r="AA376" s="302"/>
    </row>
    <row r="377" spans="1:27" ht="16" x14ac:dyDescent="0.2">
      <c r="A377" s="302"/>
      <c r="B377" s="302"/>
      <c r="C377" s="302"/>
      <c r="D377" s="302"/>
      <c r="E377" s="302"/>
      <c r="F377" s="302"/>
      <c r="G377" s="302"/>
      <c r="H377" s="302"/>
      <c r="I377" s="302"/>
      <c r="J377" s="302"/>
      <c r="K377" s="302"/>
      <c r="L377" s="302"/>
      <c r="M377" s="302"/>
      <c r="N377" s="302"/>
      <c r="O377" s="302"/>
      <c r="P377" s="302"/>
      <c r="Q377" s="302"/>
      <c r="R377" s="302"/>
      <c r="S377" s="302"/>
      <c r="T377" s="413"/>
      <c r="U377" s="302"/>
      <c r="V377" s="302"/>
      <c r="W377" s="302"/>
      <c r="X377" s="302"/>
      <c r="Y377" s="302"/>
      <c r="Z377" s="302"/>
      <c r="AA377" s="302"/>
    </row>
    <row r="378" spans="1:27" ht="16" x14ac:dyDescent="0.2">
      <c r="A378" s="302"/>
      <c r="B378" s="302"/>
      <c r="C378" s="302"/>
      <c r="D378" s="302"/>
      <c r="E378" s="302"/>
      <c r="F378" s="302"/>
      <c r="G378" s="302"/>
      <c r="H378" s="302"/>
      <c r="I378" s="302"/>
      <c r="J378" s="302"/>
      <c r="K378" s="302"/>
      <c r="L378" s="302"/>
      <c r="M378" s="302"/>
      <c r="N378" s="302"/>
      <c r="O378" s="302"/>
      <c r="P378" s="302"/>
      <c r="Q378" s="302"/>
      <c r="R378" s="302"/>
      <c r="S378" s="302"/>
      <c r="T378" s="413"/>
      <c r="U378" s="302"/>
      <c r="V378" s="302"/>
      <c r="W378" s="302"/>
      <c r="X378" s="302"/>
      <c r="Y378" s="302"/>
      <c r="Z378" s="302"/>
      <c r="AA378" s="302"/>
    </row>
    <row r="379" spans="1:27" ht="16" x14ac:dyDescent="0.2">
      <c r="A379" s="302"/>
      <c r="B379" s="302"/>
      <c r="C379" s="302"/>
      <c r="D379" s="302"/>
      <c r="E379" s="302"/>
      <c r="F379" s="302"/>
      <c r="G379" s="302"/>
      <c r="H379" s="302"/>
      <c r="I379" s="302"/>
      <c r="J379" s="302"/>
      <c r="K379" s="302"/>
      <c r="L379" s="302"/>
      <c r="M379" s="302"/>
      <c r="N379" s="302"/>
      <c r="O379" s="302"/>
      <c r="P379" s="302"/>
      <c r="Q379" s="302"/>
      <c r="R379" s="302"/>
      <c r="S379" s="302"/>
      <c r="T379" s="413"/>
      <c r="U379" s="302"/>
      <c r="V379" s="302"/>
      <c r="W379" s="302"/>
      <c r="X379" s="302"/>
      <c r="Y379" s="302"/>
      <c r="Z379" s="302"/>
      <c r="AA379" s="302"/>
    </row>
    <row r="380" spans="1:27" ht="16" x14ac:dyDescent="0.2">
      <c r="A380" s="302"/>
      <c r="B380" s="302"/>
      <c r="C380" s="302"/>
      <c r="D380" s="302"/>
      <c r="E380" s="302"/>
      <c r="F380" s="302"/>
      <c r="G380" s="302"/>
      <c r="H380" s="302"/>
      <c r="I380" s="302"/>
      <c r="J380" s="302"/>
      <c r="K380" s="302"/>
      <c r="L380" s="302"/>
      <c r="M380" s="302"/>
      <c r="N380" s="302"/>
      <c r="O380" s="302"/>
      <c r="P380" s="302"/>
      <c r="Q380" s="302"/>
      <c r="R380" s="302"/>
      <c r="S380" s="302"/>
      <c r="T380" s="413"/>
      <c r="U380" s="302"/>
      <c r="V380" s="302"/>
      <c r="W380" s="302"/>
      <c r="X380" s="302"/>
      <c r="Y380" s="302"/>
      <c r="Z380" s="302"/>
      <c r="AA380" s="302"/>
    </row>
    <row r="381" spans="1:27" ht="16" x14ac:dyDescent="0.2">
      <c r="A381" s="302"/>
      <c r="B381" s="302"/>
      <c r="C381" s="302"/>
      <c r="D381" s="302"/>
      <c r="E381" s="302"/>
      <c r="F381" s="302"/>
      <c r="G381" s="302"/>
      <c r="H381" s="302"/>
      <c r="I381" s="302"/>
      <c r="J381" s="302"/>
      <c r="K381" s="302"/>
      <c r="L381" s="302"/>
      <c r="M381" s="302"/>
      <c r="N381" s="302"/>
      <c r="O381" s="302"/>
      <c r="P381" s="302"/>
      <c r="Q381" s="302"/>
      <c r="R381" s="302"/>
      <c r="S381" s="302"/>
      <c r="T381" s="413"/>
      <c r="U381" s="302"/>
      <c r="V381" s="302"/>
      <c r="W381" s="302"/>
      <c r="X381" s="302"/>
      <c r="Y381" s="302"/>
      <c r="Z381" s="302"/>
      <c r="AA381" s="302"/>
    </row>
    <row r="382" spans="1:27" ht="16" x14ac:dyDescent="0.2">
      <c r="A382" s="302"/>
      <c r="B382" s="302"/>
      <c r="C382" s="302"/>
      <c r="D382" s="302"/>
      <c r="E382" s="302"/>
      <c r="F382" s="302"/>
      <c r="G382" s="302"/>
      <c r="H382" s="302"/>
      <c r="I382" s="302"/>
      <c r="J382" s="302"/>
      <c r="K382" s="302"/>
      <c r="L382" s="302"/>
      <c r="M382" s="302"/>
      <c r="N382" s="302"/>
      <c r="O382" s="302"/>
      <c r="P382" s="302"/>
      <c r="Q382" s="302"/>
      <c r="R382" s="302"/>
      <c r="S382" s="302"/>
      <c r="T382" s="413"/>
      <c r="U382" s="302"/>
      <c r="V382" s="302"/>
      <c r="W382" s="302"/>
      <c r="X382" s="302"/>
      <c r="Y382" s="302"/>
      <c r="Z382" s="302"/>
      <c r="AA382" s="302"/>
    </row>
    <row r="383" spans="1:27" ht="16" x14ac:dyDescent="0.2">
      <c r="A383" s="302"/>
      <c r="B383" s="302"/>
      <c r="C383" s="302"/>
      <c r="D383" s="302"/>
      <c r="E383" s="302"/>
      <c r="F383" s="302"/>
      <c r="G383" s="302"/>
      <c r="H383" s="302"/>
      <c r="I383" s="302"/>
      <c r="J383" s="302"/>
      <c r="K383" s="302"/>
      <c r="L383" s="302"/>
      <c r="M383" s="302"/>
      <c r="N383" s="302"/>
      <c r="O383" s="302"/>
      <c r="P383" s="302"/>
      <c r="Q383" s="302"/>
      <c r="R383" s="302"/>
      <c r="S383" s="302"/>
      <c r="T383" s="413"/>
      <c r="U383" s="302"/>
      <c r="V383" s="302"/>
      <c r="W383" s="302"/>
      <c r="X383" s="302"/>
      <c r="Y383" s="302"/>
      <c r="Z383" s="302"/>
      <c r="AA383" s="302"/>
    </row>
    <row r="384" spans="1:27" ht="16" x14ac:dyDescent="0.2">
      <c r="A384" s="302"/>
      <c r="B384" s="302"/>
      <c r="C384" s="302"/>
      <c r="D384" s="302"/>
      <c r="E384" s="302"/>
      <c r="F384" s="302"/>
      <c r="G384" s="302"/>
      <c r="H384" s="302"/>
      <c r="I384" s="302"/>
      <c r="J384" s="302"/>
      <c r="K384" s="302"/>
      <c r="L384" s="302"/>
      <c r="M384" s="302"/>
      <c r="N384" s="302"/>
      <c r="O384" s="302"/>
      <c r="P384" s="302"/>
      <c r="Q384" s="302"/>
      <c r="R384" s="302"/>
      <c r="S384" s="302"/>
      <c r="T384" s="413"/>
      <c r="U384" s="302"/>
      <c r="V384" s="302"/>
      <c r="W384" s="302"/>
      <c r="X384" s="302"/>
      <c r="Y384" s="302"/>
      <c r="Z384" s="302"/>
      <c r="AA384" s="302"/>
    </row>
    <row r="385" spans="1:27" ht="16" x14ac:dyDescent="0.2">
      <c r="A385" s="302"/>
      <c r="B385" s="302"/>
      <c r="C385" s="302"/>
      <c r="D385" s="302"/>
      <c r="E385" s="302"/>
      <c r="F385" s="302"/>
      <c r="G385" s="302"/>
      <c r="H385" s="302"/>
      <c r="I385" s="302"/>
      <c r="J385" s="302"/>
      <c r="K385" s="302"/>
      <c r="L385" s="302"/>
      <c r="M385" s="302"/>
      <c r="N385" s="302"/>
      <c r="O385" s="302"/>
      <c r="P385" s="302"/>
      <c r="Q385" s="302"/>
      <c r="R385" s="302"/>
      <c r="S385" s="302"/>
      <c r="T385" s="413"/>
      <c r="U385" s="302"/>
      <c r="V385" s="302"/>
      <c r="W385" s="302"/>
      <c r="X385" s="302"/>
      <c r="Y385" s="302"/>
      <c r="Z385" s="302"/>
      <c r="AA385" s="302"/>
    </row>
    <row r="386" spans="1:27" ht="16" x14ac:dyDescent="0.2">
      <c r="A386" s="302"/>
      <c r="B386" s="302"/>
      <c r="C386" s="302"/>
      <c r="D386" s="302"/>
      <c r="E386" s="302"/>
      <c r="F386" s="302"/>
      <c r="G386" s="302"/>
      <c r="H386" s="302"/>
      <c r="I386" s="302"/>
      <c r="J386" s="302"/>
      <c r="K386" s="302"/>
      <c r="L386" s="302"/>
      <c r="M386" s="302"/>
      <c r="N386" s="302"/>
      <c r="O386" s="302"/>
      <c r="P386" s="302"/>
      <c r="Q386" s="302"/>
      <c r="R386" s="302"/>
      <c r="S386" s="302"/>
      <c r="T386" s="413"/>
      <c r="U386" s="302"/>
      <c r="V386" s="302"/>
      <c r="W386" s="302"/>
      <c r="X386" s="302"/>
      <c r="Y386" s="302"/>
      <c r="Z386" s="302"/>
      <c r="AA386" s="302"/>
    </row>
    <row r="387" spans="1:27" ht="16" x14ac:dyDescent="0.2">
      <c r="A387" s="302"/>
      <c r="B387" s="302"/>
      <c r="C387" s="302"/>
      <c r="D387" s="302"/>
      <c r="E387" s="302"/>
      <c r="F387" s="302"/>
      <c r="G387" s="302"/>
      <c r="H387" s="302"/>
      <c r="I387" s="302"/>
      <c r="J387" s="302"/>
      <c r="K387" s="302"/>
      <c r="L387" s="302"/>
      <c r="M387" s="302"/>
      <c r="N387" s="302"/>
      <c r="O387" s="302"/>
      <c r="P387" s="302"/>
      <c r="Q387" s="302"/>
      <c r="R387" s="302"/>
      <c r="S387" s="302"/>
      <c r="T387" s="413"/>
      <c r="U387" s="302"/>
      <c r="V387" s="302"/>
      <c r="W387" s="302"/>
      <c r="X387" s="302"/>
      <c r="Y387" s="302"/>
      <c r="Z387" s="302"/>
      <c r="AA387" s="302"/>
    </row>
    <row r="388" spans="1:27" ht="16" x14ac:dyDescent="0.2">
      <c r="A388" s="302"/>
      <c r="B388" s="302"/>
      <c r="C388" s="302"/>
      <c r="D388" s="302"/>
      <c r="E388" s="302"/>
      <c r="F388" s="302"/>
      <c r="G388" s="302"/>
      <c r="H388" s="302"/>
      <c r="I388" s="302"/>
      <c r="J388" s="302"/>
      <c r="K388" s="302"/>
      <c r="L388" s="302"/>
      <c r="M388" s="302"/>
      <c r="N388" s="302"/>
      <c r="O388" s="302"/>
      <c r="P388" s="302"/>
      <c r="Q388" s="302"/>
      <c r="R388" s="302"/>
      <c r="S388" s="302"/>
      <c r="T388" s="413"/>
      <c r="U388" s="302"/>
      <c r="V388" s="302"/>
      <c r="W388" s="302"/>
      <c r="X388" s="302"/>
      <c r="Y388" s="302"/>
      <c r="Z388" s="302"/>
      <c r="AA388" s="302"/>
    </row>
    <row r="389" spans="1:27" ht="16" x14ac:dyDescent="0.2">
      <c r="A389" s="302"/>
      <c r="B389" s="302"/>
      <c r="C389" s="302"/>
      <c r="D389" s="302"/>
      <c r="E389" s="302"/>
      <c r="F389" s="302"/>
      <c r="G389" s="302"/>
      <c r="H389" s="302"/>
      <c r="I389" s="302"/>
      <c r="J389" s="302"/>
      <c r="K389" s="302"/>
      <c r="L389" s="302"/>
      <c r="M389" s="302"/>
      <c r="N389" s="302"/>
      <c r="O389" s="302"/>
      <c r="P389" s="302"/>
      <c r="Q389" s="302"/>
      <c r="R389" s="302"/>
      <c r="S389" s="302"/>
      <c r="T389" s="413"/>
      <c r="U389" s="302"/>
      <c r="V389" s="302"/>
      <c r="W389" s="302"/>
      <c r="X389" s="302"/>
      <c r="Y389" s="302"/>
      <c r="Z389" s="302"/>
      <c r="AA389" s="302"/>
    </row>
    <row r="390" spans="1:27" ht="16" x14ac:dyDescent="0.2">
      <c r="A390" s="302"/>
      <c r="B390" s="302"/>
      <c r="C390" s="302"/>
      <c r="D390" s="302"/>
      <c r="E390" s="302"/>
      <c r="F390" s="302"/>
      <c r="G390" s="302"/>
      <c r="H390" s="302"/>
      <c r="I390" s="302"/>
      <c r="J390" s="302"/>
      <c r="K390" s="302"/>
      <c r="L390" s="302"/>
      <c r="M390" s="302"/>
      <c r="N390" s="302"/>
      <c r="O390" s="302"/>
      <c r="P390" s="302"/>
      <c r="Q390" s="302"/>
      <c r="R390" s="302"/>
      <c r="S390" s="302"/>
      <c r="T390" s="413"/>
      <c r="U390" s="302"/>
      <c r="V390" s="302"/>
      <c r="W390" s="302"/>
      <c r="X390" s="302"/>
      <c r="Y390" s="302"/>
      <c r="Z390" s="302"/>
      <c r="AA390" s="302"/>
    </row>
    <row r="391" spans="1:27" ht="16" x14ac:dyDescent="0.2">
      <c r="A391" s="302"/>
      <c r="B391" s="302"/>
      <c r="C391" s="302"/>
      <c r="D391" s="302"/>
      <c r="E391" s="302"/>
      <c r="F391" s="302"/>
      <c r="G391" s="302"/>
      <c r="H391" s="302"/>
      <c r="I391" s="302"/>
      <c r="J391" s="302"/>
      <c r="K391" s="302"/>
      <c r="L391" s="302"/>
      <c r="M391" s="302"/>
      <c r="N391" s="302"/>
      <c r="O391" s="302"/>
      <c r="P391" s="302"/>
      <c r="Q391" s="302"/>
      <c r="R391" s="302"/>
      <c r="S391" s="302"/>
      <c r="T391" s="413"/>
      <c r="U391" s="302"/>
      <c r="V391" s="302"/>
      <c r="W391" s="302"/>
      <c r="X391" s="302"/>
      <c r="Y391" s="302"/>
      <c r="Z391" s="302"/>
      <c r="AA391" s="302"/>
    </row>
    <row r="392" spans="1:27" ht="16" x14ac:dyDescent="0.2">
      <c r="A392" s="302"/>
      <c r="B392" s="302"/>
      <c r="C392" s="302"/>
      <c r="D392" s="302"/>
      <c r="E392" s="302"/>
      <c r="F392" s="302"/>
      <c r="G392" s="302"/>
      <c r="H392" s="302"/>
      <c r="I392" s="302"/>
      <c r="J392" s="302"/>
      <c r="K392" s="302"/>
      <c r="L392" s="302"/>
      <c r="M392" s="302"/>
      <c r="N392" s="302"/>
      <c r="O392" s="302"/>
      <c r="P392" s="302"/>
      <c r="Q392" s="302"/>
      <c r="R392" s="302"/>
      <c r="S392" s="302"/>
      <c r="T392" s="413"/>
      <c r="U392" s="302"/>
      <c r="V392" s="302"/>
      <c r="W392" s="302"/>
      <c r="X392" s="302"/>
      <c r="Y392" s="302"/>
      <c r="Z392" s="302"/>
      <c r="AA392" s="302"/>
    </row>
    <row r="393" spans="1:27" ht="16" x14ac:dyDescent="0.2">
      <c r="A393" s="302"/>
      <c r="B393" s="302"/>
      <c r="C393" s="302"/>
      <c r="D393" s="302"/>
      <c r="E393" s="302"/>
      <c r="F393" s="302"/>
      <c r="G393" s="302"/>
      <c r="H393" s="302"/>
      <c r="I393" s="302"/>
      <c r="J393" s="302"/>
      <c r="K393" s="302"/>
      <c r="L393" s="302"/>
      <c r="M393" s="302"/>
      <c r="N393" s="302"/>
      <c r="O393" s="302"/>
      <c r="P393" s="302"/>
      <c r="Q393" s="302"/>
      <c r="R393" s="302"/>
      <c r="S393" s="302"/>
      <c r="T393" s="413"/>
      <c r="U393" s="302"/>
      <c r="V393" s="302"/>
      <c r="W393" s="302"/>
      <c r="X393" s="302"/>
      <c r="Y393" s="302"/>
      <c r="Z393" s="302"/>
      <c r="AA393" s="302"/>
    </row>
    <row r="394" spans="1:27" ht="16" x14ac:dyDescent="0.2">
      <c r="A394" s="302"/>
      <c r="B394" s="302"/>
      <c r="C394" s="302"/>
      <c r="D394" s="302"/>
      <c r="E394" s="302"/>
      <c r="F394" s="302"/>
      <c r="G394" s="302"/>
      <c r="H394" s="302"/>
      <c r="I394" s="302"/>
      <c r="J394" s="302"/>
      <c r="K394" s="302"/>
      <c r="L394" s="302"/>
      <c r="M394" s="302"/>
      <c r="N394" s="302"/>
      <c r="O394" s="302"/>
      <c r="P394" s="302"/>
      <c r="Q394" s="302"/>
      <c r="R394" s="302"/>
      <c r="S394" s="302"/>
      <c r="T394" s="413"/>
      <c r="U394" s="302"/>
      <c r="V394" s="302"/>
      <c r="W394" s="302"/>
      <c r="X394" s="302"/>
      <c r="Y394" s="302"/>
      <c r="Z394" s="302"/>
      <c r="AA394" s="302"/>
    </row>
    <row r="395" spans="1:27" ht="16" x14ac:dyDescent="0.2">
      <c r="A395" s="302"/>
      <c r="B395" s="302"/>
      <c r="C395" s="302"/>
      <c r="D395" s="302"/>
      <c r="E395" s="302"/>
      <c r="F395" s="302"/>
      <c r="G395" s="302"/>
      <c r="H395" s="302"/>
      <c r="I395" s="302"/>
      <c r="J395" s="302"/>
      <c r="K395" s="302"/>
      <c r="L395" s="302"/>
      <c r="M395" s="302"/>
      <c r="N395" s="302"/>
      <c r="O395" s="302"/>
      <c r="P395" s="302"/>
      <c r="Q395" s="302"/>
      <c r="R395" s="302"/>
      <c r="S395" s="302"/>
      <c r="T395" s="413"/>
      <c r="U395" s="302"/>
      <c r="V395" s="302"/>
      <c r="W395" s="302"/>
      <c r="X395" s="302"/>
      <c r="Y395" s="302"/>
      <c r="Z395" s="302"/>
      <c r="AA395" s="302"/>
    </row>
    <row r="396" spans="1:27" ht="16" x14ac:dyDescent="0.2">
      <c r="A396" s="302"/>
      <c r="B396" s="302"/>
      <c r="C396" s="302"/>
      <c r="D396" s="302"/>
      <c r="E396" s="302"/>
      <c r="F396" s="302"/>
      <c r="G396" s="302"/>
      <c r="H396" s="302"/>
      <c r="I396" s="302"/>
      <c r="J396" s="302"/>
      <c r="K396" s="302"/>
      <c r="L396" s="302"/>
      <c r="M396" s="302"/>
      <c r="N396" s="302"/>
      <c r="O396" s="302"/>
      <c r="P396" s="302"/>
      <c r="Q396" s="302"/>
      <c r="R396" s="302"/>
      <c r="S396" s="302"/>
      <c r="T396" s="413"/>
      <c r="U396" s="302"/>
      <c r="V396" s="302"/>
      <c r="W396" s="302"/>
      <c r="X396" s="302"/>
      <c r="Y396" s="302"/>
      <c r="Z396" s="302"/>
      <c r="AA396" s="302"/>
    </row>
    <row r="397" spans="1:27" ht="16" x14ac:dyDescent="0.2">
      <c r="A397" s="302"/>
      <c r="B397" s="302"/>
      <c r="C397" s="302"/>
      <c r="D397" s="302"/>
      <c r="E397" s="302"/>
      <c r="F397" s="302"/>
      <c r="G397" s="302"/>
      <c r="H397" s="302"/>
      <c r="I397" s="302"/>
      <c r="J397" s="302"/>
      <c r="K397" s="302"/>
      <c r="L397" s="302"/>
      <c r="M397" s="302"/>
      <c r="N397" s="302"/>
      <c r="O397" s="302"/>
      <c r="P397" s="302"/>
      <c r="Q397" s="302"/>
      <c r="R397" s="302"/>
      <c r="S397" s="302"/>
      <c r="T397" s="413"/>
      <c r="U397" s="302"/>
      <c r="V397" s="302"/>
      <c r="W397" s="302"/>
      <c r="X397" s="302"/>
      <c r="Y397" s="302"/>
      <c r="Z397" s="302"/>
      <c r="AA397" s="302"/>
    </row>
    <row r="398" spans="1:27" ht="16" x14ac:dyDescent="0.2">
      <c r="A398" s="302"/>
      <c r="B398" s="302"/>
      <c r="C398" s="302"/>
      <c r="D398" s="302"/>
      <c r="E398" s="302"/>
      <c r="F398" s="302"/>
      <c r="G398" s="302"/>
      <c r="H398" s="302"/>
      <c r="I398" s="302"/>
      <c r="J398" s="302"/>
      <c r="K398" s="302"/>
      <c r="L398" s="302"/>
      <c r="M398" s="302"/>
      <c r="N398" s="302"/>
      <c r="O398" s="302"/>
      <c r="P398" s="302"/>
      <c r="Q398" s="302"/>
      <c r="R398" s="302"/>
      <c r="S398" s="302"/>
      <c r="T398" s="413"/>
      <c r="U398" s="302"/>
      <c r="V398" s="302"/>
      <c r="W398" s="302"/>
      <c r="X398" s="302"/>
      <c r="Y398" s="302"/>
      <c r="Z398" s="302"/>
      <c r="AA398" s="302"/>
    </row>
    <row r="399" spans="1:27" ht="16" x14ac:dyDescent="0.2">
      <c r="A399" s="302"/>
      <c r="B399" s="302"/>
      <c r="C399" s="302"/>
      <c r="D399" s="302"/>
      <c r="E399" s="302"/>
      <c r="F399" s="302"/>
      <c r="G399" s="302"/>
      <c r="H399" s="302"/>
      <c r="I399" s="302"/>
      <c r="J399" s="302"/>
      <c r="K399" s="302"/>
      <c r="L399" s="302"/>
      <c r="M399" s="302"/>
      <c r="N399" s="302"/>
      <c r="O399" s="302"/>
      <c r="P399" s="302"/>
      <c r="Q399" s="302"/>
      <c r="R399" s="302"/>
      <c r="S399" s="302"/>
      <c r="T399" s="413"/>
      <c r="U399" s="302"/>
      <c r="V399" s="302"/>
      <c r="W399" s="302"/>
      <c r="X399" s="302"/>
      <c r="Y399" s="302"/>
      <c r="Z399" s="302"/>
      <c r="AA399" s="302"/>
    </row>
    <row r="400" spans="1:27" ht="16" x14ac:dyDescent="0.2">
      <c r="A400" s="302"/>
      <c r="B400" s="302"/>
      <c r="C400" s="302"/>
      <c r="D400" s="302"/>
      <c r="E400" s="302"/>
      <c r="F400" s="302"/>
      <c r="G400" s="302"/>
      <c r="H400" s="302"/>
      <c r="I400" s="302"/>
      <c r="J400" s="302"/>
      <c r="K400" s="302"/>
      <c r="L400" s="302"/>
      <c r="M400" s="302"/>
      <c r="N400" s="302"/>
      <c r="O400" s="302"/>
      <c r="P400" s="302"/>
      <c r="Q400" s="302"/>
      <c r="R400" s="302"/>
      <c r="S400" s="302"/>
      <c r="T400" s="413"/>
      <c r="U400" s="302"/>
      <c r="V400" s="302"/>
      <c r="W400" s="302"/>
      <c r="X400" s="302"/>
      <c r="Y400" s="302"/>
      <c r="Z400" s="302"/>
      <c r="AA400" s="302"/>
    </row>
    <row r="401" spans="1:27" ht="16" x14ac:dyDescent="0.2">
      <c r="A401" s="302"/>
      <c r="B401" s="302"/>
      <c r="C401" s="302"/>
      <c r="D401" s="302"/>
      <c r="E401" s="302"/>
      <c r="F401" s="302"/>
      <c r="G401" s="302"/>
      <c r="H401" s="302"/>
      <c r="I401" s="302"/>
      <c r="J401" s="302"/>
      <c r="K401" s="302"/>
      <c r="L401" s="302"/>
      <c r="M401" s="302"/>
      <c r="N401" s="302"/>
      <c r="O401" s="302"/>
      <c r="P401" s="302"/>
      <c r="Q401" s="302"/>
      <c r="R401" s="302"/>
      <c r="S401" s="302"/>
      <c r="T401" s="413"/>
      <c r="U401" s="302"/>
      <c r="V401" s="302"/>
      <c r="W401" s="302"/>
      <c r="X401" s="302"/>
      <c r="Y401" s="302"/>
      <c r="Z401" s="302"/>
      <c r="AA401" s="302"/>
    </row>
    <row r="402" spans="1:27" ht="16" x14ac:dyDescent="0.2">
      <c r="A402" s="302"/>
      <c r="B402" s="302"/>
      <c r="C402" s="302"/>
      <c r="D402" s="302"/>
      <c r="E402" s="302"/>
      <c r="F402" s="302"/>
      <c r="G402" s="302"/>
      <c r="H402" s="302"/>
      <c r="I402" s="302"/>
      <c r="J402" s="302"/>
      <c r="K402" s="302"/>
      <c r="L402" s="302"/>
      <c r="M402" s="302"/>
      <c r="N402" s="302"/>
      <c r="O402" s="302"/>
      <c r="P402" s="302"/>
      <c r="Q402" s="302"/>
      <c r="R402" s="302"/>
      <c r="S402" s="302"/>
      <c r="T402" s="413"/>
      <c r="U402" s="302"/>
      <c r="V402" s="302"/>
      <c r="W402" s="302"/>
      <c r="X402" s="302"/>
      <c r="Y402" s="302"/>
      <c r="Z402" s="302"/>
      <c r="AA402" s="302"/>
    </row>
    <row r="403" spans="1:27" ht="16" x14ac:dyDescent="0.2">
      <c r="A403" s="302"/>
      <c r="B403" s="302"/>
      <c r="C403" s="302"/>
      <c r="D403" s="302"/>
      <c r="E403" s="302"/>
      <c r="F403" s="302"/>
      <c r="G403" s="302"/>
      <c r="H403" s="302"/>
      <c r="I403" s="302"/>
      <c r="J403" s="302"/>
      <c r="K403" s="302"/>
      <c r="L403" s="302"/>
      <c r="M403" s="302"/>
      <c r="N403" s="302"/>
      <c r="O403" s="302"/>
      <c r="P403" s="302"/>
      <c r="Q403" s="302"/>
      <c r="R403" s="302"/>
      <c r="S403" s="302"/>
      <c r="T403" s="413"/>
      <c r="U403" s="302"/>
      <c r="V403" s="302"/>
      <c r="W403" s="302"/>
      <c r="X403" s="302"/>
      <c r="Y403" s="302"/>
      <c r="Z403" s="302"/>
      <c r="AA403" s="302"/>
    </row>
    <row r="404" spans="1:27" ht="16" x14ac:dyDescent="0.2">
      <c r="A404" s="302"/>
      <c r="B404" s="302"/>
      <c r="C404" s="302"/>
      <c r="D404" s="302"/>
      <c r="E404" s="302"/>
      <c r="F404" s="302"/>
      <c r="G404" s="302"/>
      <c r="H404" s="302"/>
      <c r="I404" s="302"/>
      <c r="J404" s="302"/>
      <c r="K404" s="302"/>
      <c r="L404" s="302"/>
      <c r="M404" s="302"/>
      <c r="N404" s="302"/>
      <c r="O404" s="302"/>
      <c r="P404" s="302"/>
      <c r="Q404" s="302"/>
      <c r="R404" s="302"/>
      <c r="S404" s="302"/>
      <c r="T404" s="413"/>
      <c r="U404" s="302"/>
      <c r="V404" s="302"/>
      <c r="W404" s="302"/>
      <c r="X404" s="302"/>
      <c r="Y404" s="302"/>
      <c r="Z404" s="302"/>
      <c r="AA404" s="302"/>
    </row>
    <row r="405" spans="1:27" ht="16" x14ac:dyDescent="0.2">
      <c r="A405" s="302"/>
      <c r="B405" s="302"/>
      <c r="C405" s="302"/>
      <c r="D405" s="302"/>
      <c r="E405" s="302"/>
      <c r="F405" s="302"/>
      <c r="G405" s="302"/>
      <c r="H405" s="302"/>
      <c r="I405" s="302"/>
      <c r="J405" s="302"/>
      <c r="K405" s="302"/>
      <c r="L405" s="302"/>
      <c r="M405" s="302"/>
      <c r="N405" s="302"/>
      <c r="O405" s="302"/>
      <c r="P405" s="302"/>
      <c r="Q405" s="302"/>
      <c r="R405" s="302"/>
      <c r="S405" s="302"/>
      <c r="T405" s="413"/>
      <c r="U405" s="302"/>
      <c r="V405" s="302"/>
      <c r="W405" s="302"/>
      <c r="X405" s="302"/>
      <c r="Y405" s="302"/>
      <c r="Z405" s="302"/>
      <c r="AA405" s="302"/>
    </row>
    <row r="406" spans="1:27" ht="16" x14ac:dyDescent="0.2">
      <c r="A406" s="302"/>
      <c r="B406" s="302"/>
      <c r="C406" s="302"/>
      <c r="D406" s="302"/>
      <c r="E406" s="302"/>
      <c r="F406" s="302"/>
      <c r="G406" s="302"/>
      <c r="H406" s="302"/>
      <c r="I406" s="302"/>
      <c r="J406" s="302"/>
      <c r="K406" s="302"/>
      <c r="L406" s="302"/>
      <c r="M406" s="302"/>
      <c r="N406" s="302"/>
      <c r="O406" s="302"/>
      <c r="P406" s="302"/>
      <c r="Q406" s="302"/>
      <c r="R406" s="302"/>
      <c r="S406" s="302"/>
      <c r="T406" s="413"/>
      <c r="U406" s="302"/>
      <c r="V406" s="302"/>
      <c r="W406" s="302"/>
      <c r="X406" s="302"/>
      <c r="Y406" s="302"/>
      <c r="Z406" s="302"/>
      <c r="AA406" s="302"/>
    </row>
    <row r="407" spans="1:27" ht="16" x14ac:dyDescent="0.2">
      <c r="A407" s="302"/>
      <c r="B407" s="302"/>
      <c r="C407" s="302"/>
      <c r="D407" s="302"/>
      <c r="E407" s="302"/>
      <c r="F407" s="302"/>
      <c r="G407" s="302"/>
      <c r="H407" s="302"/>
      <c r="I407" s="302"/>
      <c r="J407" s="302"/>
      <c r="K407" s="302"/>
      <c r="L407" s="302"/>
      <c r="M407" s="302"/>
      <c r="N407" s="302"/>
      <c r="O407" s="302"/>
      <c r="P407" s="302"/>
      <c r="Q407" s="302"/>
      <c r="R407" s="302"/>
      <c r="S407" s="302"/>
      <c r="T407" s="413"/>
      <c r="U407" s="302"/>
      <c r="V407" s="302"/>
      <c r="W407" s="302"/>
      <c r="X407" s="302"/>
      <c r="Y407" s="302"/>
      <c r="Z407" s="302"/>
      <c r="AA407" s="302"/>
    </row>
    <row r="408" spans="1:27" ht="16" x14ac:dyDescent="0.2">
      <c r="A408" s="302"/>
      <c r="B408" s="302"/>
      <c r="C408" s="302"/>
      <c r="D408" s="302"/>
      <c r="E408" s="302"/>
      <c r="F408" s="302"/>
      <c r="G408" s="302"/>
      <c r="H408" s="302"/>
      <c r="I408" s="302"/>
      <c r="J408" s="302"/>
      <c r="K408" s="302"/>
      <c r="L408" s="302"/>
      <c r="M408" s="302"/>
      <c r="N408" s="302"/>
      <c r="O408" s="302"/>
      <c r="P408" s="302"/>
      <c r="Q408" s="302"/>
      <c r="R408" s="302"/>
      <c r="S408" s="302"/>
      <c r="T408" s="413"/>
      <c r="U408" s="302"/>
      <c r="V408" s="302"/>
      <c r="W408" s="302"/>
      <c r="X408" s="302"/>
      <c r="Y408" s="302"/>
      <c r="Z408" s="302"/>
      <c r="AA408" s="302"/>
    </row>
    <row r="409" spans="1:27" ht="16" x14ac:dyDescent="0.2">
      <c r="A409" s="302"/>
      <c r="B409" s="302"/>
      <c r="C409" s="302"/>
      <c r="D409" s="302"/>
      <c r="E409" s="302"/>
      <c r="F409" s="302"/>
      <c r="G409" s="302"/>
      <c r="H409" s="302"/>
      <c r="I409" s="302"/>
      <c r="J409" s="302"/>
      <c r="K409" s="302"/>
      <c r="L409" s="302"/>
      <c r="M409" s="302"/>
      <c r="N409" s="302"/>
      <c r="O409" s="302"/>
      <c r="P409" s="302"/>
      <c r="Q409" s="302"/>
      <c r="R409" s="302"/>
      <c r="S409" s="302"/>
      <c r="T409" s="413"/>
      <c r="U409" s="302"/>
      <c r="V409" s="302"/>
      <c r="W409" s="302"/>
      <c r="X409" s="302"/>
      <c r="Y409" s="302"/>
      <c r="Z409" s="302"/>
      <c r="AA409" s="302"/>
    </row>
    <row r="410" spans="1:27" ht="16" x14ac:dyDescent="0.2">
      <c r="A410" s="302"/>
      <c r="B410" s="302"/>
      <c r="C410" s="302"/>
      <c r="D410" s="302"/>
      <c r="E410" s="302"/>
      <c r="F410" s="302"/>
      <c r="G410" s="302"/>
      <c r="H410" s="302"/>
      <c r="I410" s="302"/>
      <c r="J410" s="302"/>
      <c r="K410" s="302"/>
      <c r="L410" s="302"/>
      <c r="M410" s="302"/>
      <c r="N410" s="302"/>
      <c r="O410" s="302"/>
      <c r="P410" s="302"/>
      <c r="Q410" s="302"/>
      <c r="R410" s="302"/>
      <c r="S410" s="302"/>
      <c r="T410" s="413"/>
      <c r="U410" s="302"/>
      <c r="V410" s="302"/>
      <c r="W410" s="302"/>
      <c r="X410" s="302"/>
      <c r="Y410" s="302"/>
      <c r="Z410" s="302"/>
      <c r="AA410" s="302"/>
    </row>
    <row r="411" spans="1:27" ht="16" x14ac:dyDescent="0.2">
      <c r="A411" s="302"/>
      <c r="B411" s="302"/>
      <c r="C411" s="302"/>
      <c r="D411" s="302"/>
      <c r="E411" s="302"/>
      <c r="F411" s="302"/>
      <c r="G411" s="302"/>
      <c r="H411" s="302"/>
      <c r="I411" s="302"/>
      <c r="J411" s="302"/>
      <c r="K411" s="302"/>
      <c r="L411" s="302"/>
      <c r="M411" s="302"/>
      <c r="N411" s="302"/>
      <c r="O411" s="302"/>
      <c r="P411" s="302"/>
      <c r="Q411" s="302"/>
      <c r="R411" s="302"/>
      <c r="S411" s="302"/>
      <c r="T411" s="413"/>
      <c r="U411" s="302"/>
      <c r="V411" s="302"/>
      <c r="W411" s="302"/>
      <c r="X411" s="302"/>
      <c r="Y411" s="302"/>
      <c r="Z411" s="302"/>
      <c r="AA411" s="302"/>
    </row>
    <row r="412" spans="1:27" ht="16" x14ac:dyDescent="0.2">
      <c r="A412" s="302"/>
      <c r="B412" s="302"/>
      <c r="C412" s="302"/>
      <c r="D412" s="302"/>
      <c r="E412" s="302"/>
      <c r="F412" s="302"/>
      <c r="G412" s="302"/>
      <c r="H412" s="302"/>
      <c r="I412" s="302"/>
      <c r="J412" s="302"/>
      <c r="K412" s="302"/>
      <c r="L412" s="302"/>
      <c r="M412" s="302"/>
      <c r="N412" s="302"/>
      <c r="O412" s="302"/>
      <c r="P412" s="302"/>
      <c r="Q412" s="302"/>
      <c r="R412" s="302"/>
      <c r="S412" s="302"/>
      <c r="T412" s="413"/>
      <c r="U412" s="302"/>
      <c r="V412" s="302"/>
      <c r="W412" s="302"/>
      <c r="X412" s="302"/>
      <c r="Y412" s="302"/>
      <c r="Z412" s="302"/>
      <c r="AA412" s="302"/>
    </row>
    <row r="413" spans="1:27" ht="16" x14ac:dyDescent="0.2">
      <c r="A413" s="302"/>
      <c r="B413" s="302"/>
      <c r="C413" s="302"/>
      <c r="D413" s="302"/>
      <c r="E413" s="302"/>
      <c r="F413" s="302"/>
      <c r="G413" s="302"/>
      <c r="H413" s="302"/>
      <c r="I413" s="302"/>
      <c r="J413" s="302"/>
      <c r="K413" s="302"/>
      <c r="L413" s="302"/>
      <c r="M413" s="302"/>
      <c r="N413" s="302"/>
      <c r="O413" s="302"/>
      <c r="P413" s="302"/>
      <c r="Q413" s="302"/>
      <c r="R413" s="302"/>
      <c r="S413" s="302"/>
      <c r="T413" s="413"/>
      <c r="U413" s="302"/>
      <c r="V413" s="302"/>
      <c r="W413" s="302"/>
      <c r="X413" s="302"/>
      <c r="Y413" s="302"/>
      <c r="Z413" s="302"/>
      <c r="AA413" s="302"/>
    </row>
    <row r="414" spans="1:27" ht="16" x14ac:dyDescent="0.2">
      <c r="A414" s="302"/>
      <c r="B414" s="302"/>
      <c r="C414" s="302"/>
      <c r="D414" s="302"/>
      <c r="E414" s="302"/>
      <c r="F414" s="302"/>
      <c r="G414" s="302"/>
      <c r="H414" s="302"/>
      <c r="I414" s="302"/>
      <c r="J414" s="302"/>
      <c r="K414" s="302"/>
      <c r="L414" s="302"/>
      <c r="M414" s="302"/>
      <c r="N414" s="302"/>
      <c r="O414" s="302"/>
      <c r="P414" s="302"/>
      <c r="Q414" s="302"/>
      <c r="R414" s="302"/>
      <c r="S414" s="302"/>
      <c r="T414" s="413"/>
      <c r="U414" s="302"/>
      <c r="V414" s="302"/>
      <c r="W414" s="302"/>
      <c r="X414" s="302"/>
      <c r="Y414" s="302"/>
      <c r="Z414" s="302"/>
      <c r="AA414" s="302"/>
    </row>
    <row r="415" spans="1:27" ht="16" x14ac:dyDescent="0.2">
      <c r="A415" s="302"/>
      <c r="B415" s="302"/>
      <c r="C415" s="302"/>
      <c r="D415" s="302"/>
      <c r="E415" s="302"/>
      <c r="F415" s="302"/>
      <c r="G415" s="302"/>
      <c r="H415" s="302"/>
      <c r="I415" s="302"/>
      <c r="J415" s="302"/>
      <c r="K415" s="302"/>
      <c r="L415" s="302"/>
      <c r="M415" s="302"/>
      <c r="N415" s="302"/>
      <c r="O415" s="302"/>
      <c r="P415" s="302"/>
      <c r="Q415" s="302"/>
      <c r="R415" s="302"/>
      <c r="S415" s="302"/>
      <c r="T415" s="413"/>
      <c r="U415" s="302"/>
      <c r="V415" s="302"/>
      <c r="W415" s="302"/>
      <c r="X415" s="302"/>
      <c r="Y415" s="302"/>
      <c r="Z415" s="302"/>
      <c r="AA415" s="302"/>
    </row>
    <row r="416" spans="1:27" ht="16" x14ac:dyDescent="0.2">
      <c r="A416" s="302"/>
      <c r="B416" s="302"/>
      <c r="C416" s="302"/>
      <c r="D416" s="302"/>
      <c r="E416" s="302"/>
      <c r="F416" s="302"/>
      <c r="G416" s="302"/>
      <c r="H416" s="302"/>
      <c r="I416" s="302"/>
      <c r="J416" s="302"/>
      <c r="K416" s="302"/>
      <c r="L416" s="302"/>
      <c r="M416" s="302"/>
      <c r="N416" s="302"/>
      <c r="O416" s="302"/>
      <c r="P416" s="302"/>
      <c r="Q416" s="302"/>
      <c r="R416" s="302"/>
      <c r="S416" s="302"/>
      <c r="T416" s="413"/>
      <c r="U416" s="302"/>
      <c r="V416" s="302"/>
      <c r="W416" s="302"/>
      <c r="X416" s="302"/>
      <c r="Y416" s="302"/>
      <c r="Z416" s="302"/>
      <c r="AA416" s="302"/>
    </row>
    <row r="417" spans="1:27" ht="16" x14ac:dyDescent="0.2">
      <c r="A417" s="302"/>
      <c r="B417" s="302"/>
      <c r="C417" s="302"/>
      <c r="D417" s="302"/>
      <c r="E417" s="302"/>
      <c r="F417" s="302"/>
      <c r="G417" s="302"/>
      <c r="H417" s="302"/>
      <c r="I417" s="302"/>
      <c r="J417" s="302"/>
      <c r="K417" s="302"/>
      <c r="L417" s="302"/>
      <c r="M417" s="302"/>
      <c r="N417" s="302"/>
      <c r="O417" s="302"/>
      <c r="P417" s="302"/>
      <c r="Q417" s="302"/>
      <c r="R417" s="302"/>
      <c r="S417" s="302"/>
      <c r="T417" s="413"/>
      <c r="U417" s="302"/>
      <c r="V417" s="302"/>
      <c r="W417" s="302"/>
      <c r="X417" s="302"/>
      <c r="Y417" s="302"/>
      <c r="Z417" s="302"/>
      <c r="AA417" s="302"/>
    </row>
    <row r="418" spans="1:27" ht="16" x14ac:dyDescent="0.2">
      <c r="A418" s="302"/>
      <c r="B418" s="302"/>
      <c r="C418" s="302"/>
      <c r="D418" s="302"/>
      <c r="E418" s="302"/>
      <c r="F418" s="302"/>
      <c r="G418" s="302"/>
      <c r="H418" s="302"/>
      <c r="I418" s="302"/>
      <c r="J418" s="302"/>
      <c r="K418" s="302"/>
      <c r="L418" s="302"/>
      <c r="M418" s="302"/>
      <c r="N418" s="302"/>
      <c r="O418" s="302"/>
      <c r="P418" s="302"/>
      <c r="Q418" s="302"/>
      <c r="R418" s="302"/>
      <c r="S418" s="302"/>
      <c r="T418" s="413"/>
      <c r="U418" s="302"/>
      <c r="V418" s="302"/>
      <c r="W418" s="302"/>
      <c r="X418" s="302"/>
      <c r="Y418" s="302"/>
      <c r="Z418" s="302"/>
      <c r="AA418" s="302"/>
    </row>
    <row r="419" spans="1:27" ht="16" x14ac:dyDescent="0.2">
      <c r="A419" s="302"/>
      <c r="B419" s="302"/>
      <c r="C419" s="302"/>
      <c r="D419" s="302"/>
      <c r="E419" s="302"/>
      <c r="F419" s="302"/>
      <c r="G419" s="302"/>
      <c r="H419" s="302"/>
      <c r="I419" s="302"/>
      <c r="J419" s="302"/>
      <c r="K419" s="302"/>
      <c r="L419" s="302"/>
      <c r="M419" s="302"/>
      <c r="N419" s="302"/>
      <c r="O419" s="302"/>
      <c r="P419" s="302"/>
      <c r="Q419" s="302"/>
      <c r="R419" s="302"/>
      <c r="S419" s="302"/>
      <c r="T419" s="413"/>
      <c r="U419" s="302"/>
      <c r="V419" s="302"/>
      <c r="W419" s="302"/>
      <c r="X419" s="302"/>
      <c r="Y419" s="302"/>
      <c r="Z419" s="302"/>
      <c r="AA419" s="302"/>
    </row>
    <row r="420" spans="1:27" ht="16" x14ac:dyDescent="0.2">
      <c r="A420" s="302"/>
      <c r="B420" s="302"/>
      <c r="C420" s="302"/>
      <c r="D420" s="302"/>
      <c r="E420" s="302"/>
      <c r="F420" s="302"/>
      <c r="G420" s="302"/>
      <c r="H420" s="302"/>
      <c r="I420" s="302"/>
      <c r="J420" s="302"/>
      <c r="K420" s="302"/>
      <c r="L420" s="302"/>
      <c r="M420" s="302"/>
      <c r="N420" s="302"/>
      <c r="O420" s="302"/>
      <c r="P420" s="302"/>
      <c r="Q420" s="302"/>
      <c r="R420" s="302"/>
      <c r="S420" s="302"/>
      <c r="T420" s="413"/>
      <c r="U420" s="302"/>
      <c r="V420" s="302"/>
      <c r="W420" s="302"/>
      <c r="X420" s="302"/>
      <c r="Y420" s="302"/>
      <c r="Z420" s="302"/>
      <c r="AA420" s="302"/>
    </row>
    <row r="421" spans="1:27" ht="16" x14ac:dyDescent="0.2">
      <c r="A421" s="302"/>
      <c r="B421" s="302"/>
      <c r="C421" s="302"/>
      <c r="D421" s="302"/>
      <c r="E421" s="302"/>
      <c r="F421" s="302"/>
      <c r="G421" s="302"/>
      <c r="H421" s="302"/>
      <c r="I421" s="302"/>
      <c r="J421" s="302"/>
      <c r="K421" s="302"/>
      <c r="L421" s="302"/>
      <c r="M421" s="302"/>
      <c r="N421" s="302"/>
      <c r="O421" s="302"/>
      <c r="P421" s="302"/>
      <c r="Q421" s="302"/>
      <c r="R421" s="302"/>
      <c r="S421" s="302"/>
      <c r="T421" s="413"/>
      <c r="U421" s="302"/>
      <c r="V421" s="302"/>
      <c r="W421" s="302"/>
      <c r="X421" s="302"/>
      <c r="Y421" s="302"/>
      <c r="Z421" s="302"/>
      <c r="AA421" s="302"/>
    </row>
    <row r="422" spans="1:27" ht="16" x14ac:dyDescent="0.2">
      <c r="A422" s="302"/>
      <c r="B422" s="302"/>
      <c r="C422" s="302"/>
      <c r="D422" s="302"/>
      <c r="E422" s="302"/>
      <c r="F422" s="302"/>
      <c r="G422" s="302"/>
      <c r="H422" s="302"/>
      <c r="I422" s="302"/>
      <c r="J422" s="302"/>
      <c r="K422" s="302"/>
      <c r="L422" s="302"/>
      <c r="M422" s="302"/>
      <c r="N422" s="302"/>
      <c r="O422" s="302"/>
      <c r="P422" s="302"/>
      <c r="Q422" s="302"/>
      <c r="R422" s="302"/>
      <c r="S422" s="302"/>
      <c r="T422" s="413"/>
      <c r="U422" s="302"/>
      <c r="V422" s="302"/>
      <c r="W422" s="302"/>
      <c r="X422" s="302"/>
      <c r="Y422" s="302"/>
      <c r="Z422" s="302"/>
      <c r="AA422" s="302"/>
    </row>
    <row r="423" spans="1:27" ht="16" x14ac:dyDescent="0.2">
      <c r="A423" s="302"/>
      <c r="B423" s="302"/>
      <c r="C423" s="302"/>
      <c r="D423" s="302"/>
      <c r="E423" s="302"/>
      <c r="F423" s="302"/>
      <c r="G423" s="302"/>
      <c r="H423" s="302"/>
      <c r="I423" s="302"/>
      <c r="J423" s="302"/>
      <c r="K423" s="302"/>
      <c r="L423" s="302"/>
      <c r="M423" s="302"/>
      <c r="N423" s="302"/>
      <c r="O423" s="302"/>
      <c r="P423" s="302"/>
      <c r="Q423" s="302"/>
      <c r="R423" s="302"/>
      <c r="S423" s="302"/>
      <c r="T423" s="413"/>
      <c r="U423" s="302"/>
      <c r="V423" s="302"/>
      <c r="W423" s="302"/>
      <c r="X423" s="302"/>
      <c r="Y423" s="302"/>
      <c r="Z423" s="302"/>
      <c r="AA423" s="302"/>
    </row>
    <row r="424" spans="1:27" ht="16" x14ac:dyDescent="0.2">
      <c r="A424" s="302"/>
      <c r="B424" s="302"/>
      <c r="C424" s="302"/>
      <c r="D424" s="302"/>
      <c r="E424" s="302"/>
      <c r="F424" s="302"/>
      <c r="G424" s="302"/>
      <c r="H424" s="302"/>
      <c r="I424" s="302"/>
      <c r="J424" s="302"/>
      <c r="K424" s="302"/>
      <c r="L424" s="302"/>
      <c r="M424" s="302"/>
      <c r="N424" s="302"/>
      <c r="O424" s="302"/>
      <c r="P424" s="302"/>
      <c r="Q424" s="302"/>
      <c r="R424" s="302"/>
      <c r="S424" s="302"/>
      <c r="T424" s="413"/>
      <c r="U424" s="302"/>
      <c r="V424" s="302"/>
      <c r="W424" s="302"/>
      <c r="X424" s="302"/>
      <c r="Y424" s="302"/>
      <c r="Z424" s="302"/>
      <c r="AA424" s="302"/>
    </row>
    <row r="425" spans="1:27" ht="16" x14ac:dyDescent="0.2">
      <c r="A425" s="302"/>
      <c r="B425" s="302"/>
      <c r="C425" s="302"/>
      <c r="D425" s="302"/>
      <c r="E425" s="302"/>
      <c r="F425" s="302"/>
      <c r="G425" s="302"/>
      <c r="H425" s="302"/>
      <c r="I425" s="302"/>
      <c r="J425" s="302"/>
      <c r="K425" s="302"/>
      <c r="L425" s="302"/>
      <c r="M425" s="302"/>
      <c r="N425" s="302"/>
      <c r="O425" s="302"/>
      <c r="P425" s="302"/>
      <c r="Q425" s="302"/>
      <c r="R425" s="302"/>
      <c r="S425" s="302"/>
      <c r="T425" s="413"/>
      <c r="U425" s="302"/>
      <c r="V425" s="302"/>
      <c r="W425" s="302"/>
      <c r="X425" s="302"/>
      <c r="Y425" s="302"/>
      <c r="Z425" s="302"/>
      <c r="AA425" s="302"/>
    </row>
    <row r="426" spans="1:27" ht="16" x14ac:dyDescent="0.2">
      <c r="A426" s="302"/>
      <c r="B426" s="302"/>
      <c r="C426" s="302"/>
      <c r="D426" s="302"/>
      <c r="E426" s="302"/>
      <c r="F426" s="302"/>
      <c r="G426" s="302"/>
      <c r="H426" s="302"/>
      <c r="I426" s="302"/>
      <c r="J426" s="302"/>
      <c r="K426" s="302"/>
      <c r="L426" s="302"/>
      <c r="M426" s="302"/>
      <c r="N426" s="302"/>
      <c r="O426" s="302"/>
      <c r="P426" s="302"/>
      <c r="Q426" s="302"/>
      <c r="R426" s="302"/>
      <c r="S426" s="302"/>
      <c r="T426" s="413"/>
      <c r="U426" s="302"/>
      <c r="V426" s="302"/>
      <c r="W426" s="302"/>
      <c r="X426" s="302"/>
      <c r="Y426" s="302"/>
      <c r="Z426" s="302"/>
      <c r="AA426" s="302"/>
    </row>
    <row r="427" spans="1:27" ht="16" x14ac:dyDescent="0.2">
      <c r="A427" s="302"/>
      <c r="B427" s="302"/>
      <c r="C427" s="302"/>
      <c r="D427" s="302"/>
      <c r="E427" s="302"/>
      <c r="F427" s="302"/>
      <c r="G427" s="302"/>
      <c r="H427" s="302"/>
      <c r="I427" s="302"/>
      <c r="J427" s="302"/>
      <c r="K427" s="302"/>
      <c r="L427" s="302"/>
      <c r="M427" s="302"/>
      <c r="N427" s="302"/>
      <c r="O427" s="302"/>
      <c r="P427" s="302"/>
      <c r="Q427" s="302"/>
      <c r="R427" s="302"/>
      <c r="S427" s="302"/>
      <c r="T427" s="413"/>
      <c r="U427" s="302"/>
      <c r="V427" s="302"/>
      <c r="W427" s="302"/>
      <c r="X427" s="302"/>
      <c r="Y427" s="302"/>
      <c r="Z427" s="302"/>
      <c r="AA427" s="302"/>
    </row>
    <row r="428" spans="1:27" ht="16" x14ac:dyDescent="0.2">
      <c r="A428" s="302"/>
      <c r="B428" s="302"/>
      <c r="C428" s="302"/>
      <c r="D428" s="302"/>
      <c r="E428" s="302"/>
      <c r="F428" s="302"/>
      <c r="G428" s="302"/>
      <c r="H428" s="302"/>
      <c r="I428" s="302"/>
      <c r="J428" s="302"/>
      <c r="K428" s="302"/>
      <c r="L428" s="302"/>
      <c r="M428" s="302"/>
      <c r="N428" s="302"/>
      <c r="O428" s="302"/>
      <c r="P428" s="302"/>
      <c r="Q428" s="302"/>
      <c r="R428" s="302"/>
      <c r="S428" s="302"/>
      <c r="T428" s="413"/>
      <c r="U428" s="302"/>
      <c r="V428" s="302"/>
      <c r="W428" s="302"/>
      <c r="X428" s="302"/>
      <c r="Y428" s="302"/>
      <c r="Z428" s="302"/>
      <c r="AA428" s="302"/>
    </row>
    <row r="429" spans="1:27" ht="16" x14ac:dyDescent="0.2">
      <c r="A429" s="302"/>
      <c r="B429" s="302"/>
      <c r="C429" s="302"/>
      <c r="D429" s="302"/>
      <c r="E429" s="302"/>
      <c r="F429" s="302"/>
      <c r="G429" s="302"/>
      <c r="H429" s="302"/>
      <c r="I429" s="302"/>
      <c r="J429" s="302"/>
      <c r="K429" s="302"/>
      <c r="L429" s="302"/>
      <c r="M429" s="302"/>
      <c r="N429" s="302"/>
      <c r="O429" s="302"/>
      <c r="P429" s="302"/>
      <c r="Q429" s="302"/>
      <c r="R429" s="302"/>
      <c r="S429" s="302"/>
      <c r="T429" s="413"/>
      <c r="U429" s="302"/>
      <c r="V429" s="302"/>
      <c r="W429" s="302"/>
      <c r="X429" s="302"/>
      <c r="Y429" s="302"/>
      <c r="Z429" s="302"/>
      <c r="AA429" s="302"/>
    </row>
    <row r="430" spans="1:27" ht="16" x14ac:dyDescent="0.2">
      <c r="A430" s="302"/>
      <c r="B430" s="302"/>
      <c r="C430" s="302"/>
      <c r="D430" s="302"/>
      <c r="E430" s="302"/>
      <c r="F430" s="302"/>
      <c r="G430" s="302"/>
      <c r="H430" s="302"/>
      <c r="I430" s="302"/>
      <c r="J430" s="302"/>
      <c r="K430" s="302"/>
      <c r="L430" s="302"/>
      <c r="M430" s="302"/>
      <c r="N430" s="302"/>
      <c r="O430" s="302"/>
      <c r="P430" s="302"/>
      <c r="Q430" s="302"/>
      <c r="R430" s="302"/>
      <c r="S430" s="302"/>
      <c r="T430" s="413"/>
      <c r="U430" s="302"/>
      <c r="V430" s="302"/>
      <c r="W430" s="302"/>
      <c r="X430" s="302"/>
      <c r="Y430" s="302"/>
      <c r="Z430" s="302"/>
      <c r="AA430" s="302"/>
    </row>
    <row r="431" spans="1:27" ht="16" x14ac:dyDescent="0.2">
      <c r="A431" s="302"/>
      <c r="B431" s="302"/>
      <c r="C431" s="302"/>
      <c r="D431" s="302"/>
      <c r="E431" s="302"/>
      <c r="F431" s="302"/>
      <c r="G431" s="302"/>
      <c r="H431" s="302"/>
      <c r="I431" s="302"/>
      <c r="J431" s="302"/>
      <c r="K431" s="302"/>
      <c r="L431" s="302"/>
      <c r="M431" s="302"/>
      <c r="N431" s="302"/>
      <c r="O431" s="302"/>
      <c r="P431" s="302"/>
      <c r="Q431" s="302"/>
      <c r="R431" s="302"/>
      <c r="S431" s="302"/>
      <c r="T431" s="413"/>
      <c r="U431" s="302"/>
      <c r="V431" s="302"/>
      <c r="W431" s="302"/>
      <c r="X431" s="302"/>
      <c r="Y431" s="302"/>
      <c r="Z431" s="302"/>
      <c r="AA431" s="302"/>
    </row>
    <row r="432" spans="1:27" ht="16" x14ac:dyDescent="0.2">
      <c r="A432" s="302"/>
      <c r="B432" s="302"/>
      <c r="C432" s="302"/>
      <c r="D432" s="302"/>
      <c r="E432" s="302"/>
      <c r="F432" s="302"/>
      <c r="G432" s="302"/>
      <c r="H432" s="302"/>
      <c r="I432" s="302"/>
      <c r="J432" s="302"/>
      <c r="K432" s="302"/>
      <c r="L432" s="302"/>
      <c r="M432" s="302"/>
      <c r="N432" s="302"/>
      <c r="O432" s="302"/>
      <c r="P432" s="302"/>
      <c r="Q432" s="302"/>
      <c r="R432" s="302"/>
      <c r="S432" s="302"/>
      <c r="T432" s="413"/>
      <c r="U432" s="302"/>
      <c r="V432" s="302"/>
      <c r="W432" s="302"/>
      <c r="X432" s="302"/>
      <c r="Y432" s="302"/>
      <c r="Z432" s="302"/>
      <c r="AA432" s="302"/>
    </row>
    <row r="433" spans="1:27" ht="16" x14ac:dyDescent="0.2">
      <c r="A433" s="302"/>
      <c r="B433" s="302"/>
      <c r="C433" s="302"/>
      <c r="D433" s="302"/>
      <c r="E433" s="302"/>
      <c r="F433" s="302"/>
      <c r="G433" s="302"/>
      <c r="H433" s="302"/>
      <c r="I433" s="302"/>
      <c r="J433" s="302"/>
      <c r="K433" s="302"/>
      <c r="L433" s="302"/>
      <c r="M433" s="302"/>
      <c r="N433" s="302"/>
      <c r="O433" s="302"/>
      <c r="P433" s="302"/>
      <c r="Q433" s="302"/>
      <c r="R433" s="302"/>
      <c r="S433" s="302"/>
      <c r="T433" s="413"/>
      <c r="U433" s="302"/>
      <c r="V433" s="302"/>
      <c r="W433" s="302"/>
      <c r="X433" s="302"/>
      <c r="Y433" s="302"/>
      <c r="Z433" s="302"/>
      <c r="AA433" s="302"/>
    </row>
    <row r="434" spans="1:27" ht="16" x14ac:dyDescent="0.2">
      <c r="A434" s="302"/>
      <c r="B434" s="302"/>
      <c r="C434" s="302"/>
      <c r="D434" s="302"/>
      <c r="E434" s="302"/>
      <c r="F434" s="302"/>
      <c r="G434" s="302"/>
      <c r="H434" s="302"/>
      <c r="I434" s="302"/>
      <c r="J434" s="302"/>
      <c r="K434" s="302"/>
      <c r="L434" s="302"/>
      <c r="M434" s="302"/>
      <c r="N434" s="302"/>
      <c r="O434" s="302"/>
      <c r="P434" s="302"/>
      <c r="Q434" s="302"/>
      <c r="R434" s="302"/>
      <c r="S434" s="302"/>
      <c r="T434" s="413"/>
      <c r="U434" s="302"/>
      <c r="V434" s="302"/>
      <c r="W434" s="302"/>
      <c r="X434" s="302"/>
      <c r="Y434" s="302"/>
      <c r="Z434" s="302"/>
      <c r="AA434" s="302"/>
    </row>
    <row r="435" spans="1:27" ht="16" x14ac:dyDescent="0.2">
      <c r="A435" s="302"/>
      <c r="B435" s="302"/>
      <c r="C435" s="302"/>
      <c r="D435" s="302"/>
      <c r="E435" s="302"/>
      <c r="F435" s="302"/>
      <c r="G435" s="302"/>
      <c r="H435" s="302"/>
      <c r="I435" s="302"/>
      <c r="J435" s="302"/>
      <c r="K435" s="302"/>
      <c r="L435" s="302"/>
      <c r="M435" s="302"/>
      <c r="N435" s="302"/>
      <c r="O435" s="302"/>
      <c r="P435" s="302"/>
      <c r="Q435" s="302"/>
      <c r="R435" s="302"/>
      <c r="S435" s="302"/>
      <c r="T435" s="413"/>
      <c r="U435" s="302"/>
      <c r="V435" s="302"/>
      <c r="W435" s="302"/>
      <c r="X435" s="302"/>
      <c r="Y435" s="302"/>
      <c r="Z435" s="302"/>
      <c r="AA435" s="302"/>
    </row>
    <row r="436" spans="1:27" ht="16" x14ac:dyDescent="0.2">
      <c r="A436" s="302"/>
      <c r="B436" s="302"/>
      <c r="C436" s="302"/>
      <c r="D436" s="302"/>
      <c r="E436" s="302"/>
      <c r="F436" s="302"/>
      <c r="G436" s="302"/>
      <c r="H436" s="302"/>
      <c r="I436" s="302"/>
      <c r="J436" s="302"/>
      <c r="K436" s="302"/>
      <c r="L436" s="302"/>
      <c r="M436" s="302"/>
      <c r="N436" s="302"/>
      <c r="O436" s="302"/>
      <c r="P436" s="302"/>
      <c r="Q436" s="302"/>
      <c r="R436" s="302"/>
      <c r="S436" s="302"/>
      <c r="T436" s="413"/>
      <c r="U436" s="302"/>
      <c r="V436" s="302"/>
      <c r="W436" s="302"/>
      <c r="X436" s="302"/>
      <c r="Y436" s="302"/>
      <c r="Z436" s="302"/>
      <c r="AA436" s="302"/>
    </row>
    <row r="437" spans="1:27" ht="16" x14ac:dyDescent="0.2">
      <c r="A437" s="302"/>
      <c r="B437" s="302"/>
      <c r="C437" s="302"/>
      <c r="D437" s="302"/>
      <c r="E437" s="302"/>
      <c r="F437" s="302"/>
      <c r="G437" s="302"/>
      <c r="H437" s="302"/>
      <c r="I437" s="302"/>
      <c r="J437" s="302"/>
      <c r="K437" s="302"/>
      <c r="L437" s="302"/>
      <c r="M437" s="302"/>
      <c r="N437" s="302"/>
      <c r="O437" s="302"/>
      <c r="P437" s="302"/>
      <c r="Q437" s="302"/>
      <c r="R437" s="302"/>
      <c r="S437" s="302"/>
      <c r="T437" s="413"/>
      <c r="U437" s="302"/>
      <c r="V437" s="302"/>
      <c r="W437" s="302"/>
      <c r="X437" s="302"/>
      <c r="Y437" s="302"/>
      <c r="Z437" s="302"/>
      <c r="AA437" s="302"/>
    </row>
    <row r="438" spans="1:27" ht="16" x14ac:dyDescent="0.2">
      <c r="A438" s="302"/>
      <c r="B438" s="302"/>
      <c r="C438" s="302"/>
      <c r="D438" s="302"/>
      <c r="E438" s="302"/>
      <c r="F438" s="302"/>
      <c r="G438" s="302"/>
      <c r="H438" s="302"/>
      <c r="I438" s="302"/>
      <c r="J438" s="302"/>
      <c r="K438" s="302"/>
      <c r="L438" s="302"/>
      <c r="M438" s="302"/>
      <c r="N438" s="302"/>
      <c r="O438" s="302"/>
      <c r="P438" s="302"/>
      <c r="Q438" s="302"/>
      <c r="R438" s="302"/>
      <c r="S438" s="302"/>
      <c r="T438" s="413"/>
      <c r="U438" s="302"/>
      <c r="V438" s="302"/>
      <c r="W438" s="302"/>
      <c r="X438" s="302"/>
      <c r="Y438" s="302"/>
      <c r="Z438" s="302"/>
      <c r="AA438" s="302"/>
    </row>
    <row r="439" spans="1:27" ht="16" x14ac:dyDescent="0.2">
      <c r="A439" s="302"/>
      <c r="B439" s="302"/>
      <c r="C439" s="302"/>
      <c r="D439" s="302"/>
      <c r="E439" s="302"/>
      <c r="F439" s="302"/>
      <c r="G439" s="302"/>
      <c r="H439" s="302"/>
      <c r="I439" s="302"/>
      <c r="J439" s="302"/>
      <c r="K439" s="302"/>
      <c r="L439" s="302"/>
      <c r="M439" s="302"/>
      <c r="N439" s="302"/>
      <c r="O439" s="302"/>
      <c r="P439" s="302"/>
      <c r="Q439" s="302"/>
      <c r="R439" s="302"/>
      <c r="S439" s="302"/>
      <c r="T439" s="413"/>
      <c r="U439" s="302"/>
      <c r="V439" s="302"/>
      <c r="W439" s="302"/>
      <c r="X439" s="302"/>
      <c r="Y439" s="302"/>
      <c r="Z439" s="302"/>
      <c r="AA439" s="302"/>
    </row>
    <row r="440" spans="1:27" ht="16" x14ac:dyDescent="0.2">
      <c r="A440" s="302"/>
      <c r="B440" s="302"/>
      <c r="C440" s="302"/>
      <c r="D440" s="302"/>
      <c r="E440" s="302"/>
      <c r="F440" s="302"/>
      <c r="G440" s="302"/>
      <c r="H440" s="302"/>
      <c r="I440" s="302"/>
      <c r="J440" s="302"/>
      <c r="K440" s="302"/>
      <c r="L440" s="302"/>
      <c r="M440" s="302"/>
      <c r="N440" s="302"/>
      <c r="O440" s="302"/>
      <c r="P440" s="302"/>
      <c r="Q440" s="302"/>
      <c r="R440" s="302"/>
      <c r="S440" s="302"/>
      <c r="T440" s="413"/>
      <c r="U440" s="302"/>
      <c r="V440" s="302"/>
      <c r="W440" s="302"/>
      <c r="X440" s="302"/>
      <c r="Y440" s="302"/>
      <c r="Z440" s="302"/>
      <c r="AA440" s="302"/>
    </row>
    <row r="441" spans="1:27" ht="16" x14ac:dyDescent="0.2">
      <c r="A441" s="302"/>
      <c r="B441" s="302"/>
      <c r="C441" s="302"/>
      <c r="D441" s="302"/>
      <c r="E441" s="302"/>
      <c r="F441" s="302"/>
      <c r="G441" s="302"/>
      <c r="H441" s="302"/>
      <c r="I441" s="302"/>
      <c r="J441" s="302"/>
      <c r="K441" s="302"/>
      <c r="L441" s="302"/>
      <c r="M441" s="302"/>
      <c r="N441" s="302"/>
      <c r="O441" s="302"/>
      <c r="P441" s="302"/>
      <c r="Q441" s="302"/>
      <c r="R441" s="302"/>
      <c r="S441" s="302"/>
      <c r="T441" s="413"/>
      <c r="U441" s="302"/>
      <c r="V441" s="302"/>
      <c r="W441" s="302"/>
      <c r="X441" s="302"/>
      <c r="Y441" s="302"/>
      <c r="Z441" s="302"/>
      <c r="AA441" s="302"/>
    </row>
    <row r="442" spans="1:27" ht="16" x14ac:dyDescent="0.2">
      <c r="A442" s="302"/>
      <c r="B442" s="302"/>
      <c r="C442" s="302"/>
      <c r="D442" s="302"/>
      <c r="E442" s="302"/>
      <c r="F442" s="302"/>
      <c r="G442" s="302"/>
      <c r="H442" s="302"/>
      <c r="I442" s="302"/>
      <c r="J442" s="302"/>
      <c r="K442" s="302"/>
      <c r="L442" s="302"/>
      <c r="M442" s="302"/>
      <c r="N442" s="302"/>
      <c r="O442" s="302"/>
      <c r="P442" s="302"/>
      <c r="Q442" s="302"/>
      <c r="R442" s="302"/>
      <c r="S442" s="302"/>
      <c r="T442" s="413"/>
      <c r="U442" s="302"/>
      <c r="V442" s="302"/>
      <c r="W442" s="302"/>
      <c r="X442" s="302"/>
      <c r="Y442" s="302"/>
      <c r="Z442" s="302"/>
      <c r="AA442" s="302"/>
    </row>
    <row r="443" spans="1:27" ht="16" x14ac:dyDescent="0.2">
      <c r="A443" s="302"/>
      <c r="B443" s="302"/>
      <c r="C443" s="302"/>
      <c r="D443" s="302"/>
      <c r="E443" s="302"/>
      <c r="F443" s="302"/>
      <c r="G443" s="302"/>
      <c r="H443" s="302"/>
      <c r="I443" s="302"/>
      <c r="J443" s="302"/>
      <c r="K443" s="302"/>
      <c r="L443" s="302"/>
      <c r="M443" s="302"/>
      <c r="N443" s="302"/>
      <c r="O443" s="302"/>
      <c r="P443" s="302"/>
      <c r="Q443" s="302"/>
      <c r="R443" s="302"/>
      <c r="S443" s="302"/>
      <c r="T443" s="413"/>
      <c r="U443" s="302"/>
      <c r="V443" s="302"/>
      <c r="W443" s="302"/>
      <c r="X443" s="302"/>
      <c r="Y443" s="302"/>
      <c r="Z443" s="302"/>
      <c r="AA443" s="302"/>
    </row>
    <row r="444" spans="1:27" ht="16" x14ac:dyDescent="0.2">
      <c r="A444" s="302"/>
      <c r="B444" s="302"/>
      <c r="C444" s="302"/>
      <c r="D444" s="302"/>
      <c r="E444" s="302"/>
      <c r="F444" s="302"/>
      <c r="G444" s="302"/>
      <c r="H444" s="302"/>
      <c r="I444" s="302"/>
      <c r="J444" s="302"/>
      <c r="K444" s="302"/>
      <c r="L444" s="302"/>
      <c r="M444" s="302"/>
      <c r="N444" s="302"/>
      <c r="O444" s="302"/>
      <c r="P444" s="302"/>
      <c r="Q444" s="302"/>
      <c r="R444" s="302"/>
      <c r="S444" s="302"/>
      <c r="T444" s="413"/>
      <c r="U444" s="302"/>
      <c r="V444" s="302"/>
      <c r="W444" s="302"/>
      <c r="X444" s="302"/>
      <c r="Y444" s="302"/>
      <c r="Z444" s="302"/>
      <c r="AA444" s="302"/>
    </row>
    <row r="445" spans="1:27" ht="16" x14ac:dyDescent="0.2">
      <c r="A445" s="302"/>
      <c r="B445" s="302"/>
      <c r="C445" s="302"/>
      <c r="D445" s="302"/>
      <c r="E445" s="302"/>
      <c r="F445" s="302"/>
      <c r="G445" s="302"/>
      <c r="H445" s="302"/>
      <c r="I445" s="302"/>
      <c r="J445" s="302"/>
      <c r="K445" s="302"/>
      <c r="L445" s="302"/>
      <c r="M445" s="302"/>
      <c r="N445" s="302"/>
      <c r="O445" s="302"/>
      <c r="P445" s="302"/>
      <c r="Q445" s="302"/>
      <c r="R445" s="302"/>
      <c r="S445" s="302"/>
      <c r="T445" s="413"/>
      <c r="U445" s="302"/>
      <c r="V445" s="302"/>
      <c r="W445" s="302"/>
      <c r="X445" s="302"/>
      <c r="Y445" s="302"/>
      <c r="Z445" s="302"/>
      <c r="AA445" s="302"/>
    </row>
    <row r="446" spans="1:27" ht="16" x14ac:dyDescent="0.2">
      <c r="A446" s="302"/>
      <c r="B446" s="302"/>
      <c r="C446" s="302"/>
      <c r="D446" s="302"/>
      <c r="E446" s="302"/>
      <c r="F446" s="302"/>
      <c r="G446" s="302"/>
      <c r="H446" s="302"/>
      <c r="I446" s="302"/>
      <c r="J446" s="302"/>
      <c r="K446" s="302"/>
      <c r="L446" s="302"/>
      <c r="M446" s="302"/>
      <c r="N446" s="302"/>
      <c r="O446" s="302"/>
      <c r="P446" s="302"/>
      <c r="Q446" s="302"/>
      <c r="R446" s="302"/>
      <c r="S446" s="302"/>
      <c r="T446" s="413"/>
      <c r="U446" s="302"/>
      <c r="V446" s="302"/>
      <c r="W446" s="302"/>
      <c r="X446" s="302"/>
      <c r="Y446" s="302"/>
      <c r="Z446" s="302"/>
      <c r="AA446" s="302"/>
    </row>
    <row r="447" spans="1:27" ht="16" x14ac:dyDescent="0.2">
      <c r="A447" s="302"/>
      <c r="B447" s="302"/>
      <c r="C447" s="302"/>
      <c r="D447" s="302"/>
      <c r="E447" s="302"/>
      <c r="F447" s="302"/>
      <c r="G447" s="302"/>
      <c r="H447" s="302"/>
      <c r="I447" s="302"/>
      <c r="J447" s="302"/>
      <c r="K447" s="302"/>
      <c r="L447" s="302"/>
      <c r="M447" s="302"/>
      <c r="N447" s="302"/>
      <c r="O447" s="302"/>
      <c r="P447" s="302"/>
      <c r="Q447" s="302"/>
      <c r="R447" s="302"/>
      <c r="S447" s="302"/>
      <c r="T447" s="413"/>
      <c r="U447" s="302"/>
      <c r="V447" s="302"/>
      <c r="W447" s="302"/>
      <c r="X447" s="302"/>
      <c r="Y447" s="302"/>
      <c r="Z447" s="302"/>
      <c r="AA447" s="302"/>
    </row>
    <row r="448" spans="1:27" ht="16" x14ac:dyDescent="0.2">
      <c r="A448" s="302"/>
      <c r="B448" s="302"/>
      <c r="C448" s="302"/>
      <c r="D448" s="302"/>
      <c r="E448" s="302"/>
      <c r="F448" s="302"/>
      <c r="G448" s="302"/>
      <c r="H448" s="302"/>
      <c r="I448" s="302"/>
      <c r="J448" s="302"/>
      <c r="K448" s="302"/>
      <c r="L448" s="302"/>
      <c r="M448" s="302"/>
      <c r="N448" s="302"/>
      <c r="O448" s="302"/>
      <c r="P448" s="302"/>
      <c r="Q448" s="302"/>
      <c r="R448" s="302"/>
      <c r="S448" s="302"/>
      <c r="T448" s="413"/>
      <c r="U448" s="302"/>
      <c r="V448" s="302"/>
      <c r="W448" s="302"/>
      <c r="X448" s="302"/>
      <c r="Y448" s="302"/>
      <c r="Z448" s="302"/>
      <c r="AA448" s="302"/>
    </row>
    <row r="449" spans="1:27" ht="16" x14ac:dyDescent="0.2">
      <c r="A449" s="302"/>
      <c r="B449" s="302"/>
      <c r="C449" s="302"/>
      <c r="D449" s="302"/>
      <c r="E449" s="302"/>
      <c r="F449" s="302"/>
      <c r="G449" s="302"/>
      <c r="H449" s="302"/>
      <c r="I449" s="302"/>
      <c r="J449" s="302"/>
      <c r="K449" s="302"/>
      <c r="L449" s="302"/>
      <c r="M449" s="302"/>
      <c r="N449" s="302"/>
      <c r="O449" s="302"/>
      <c r="P449" s="302"/>
      <c r="Q449" s="302"/>
      <c r="R449" s="302"/>
      <c r="S449" s="302"/>
      <c r="T449" s="413"/>
      <c r="U449" s="302"/>
      <c r="V449" s="302"/>
      <c r="W449" s="302"/>
      <c r="X449" s="302"/>
      <c r="Y449" s="302"/>
      <c r="Z449" s="302"/>
      <c r="AA449" s="302"/>
    </row>
    <row r="450" spans="1:27" ht="16" x14ac:dyDescent="0.2">
      <c r="A450" s="302"/>
      <c r="B450" s="302"/>
      <c r="C450" s="302"/>
      <c r="D450" s="302"/>
      <c r="E450" s="302"/>
      <c r="F450" s="302"/>
      <c r="G450" s="302"/>
      <c r="H450" s="302"/>
      <c r="I450" s="302"/>
      <c r="J450" s="302"/>
      <c r="K450" s="302"/>
      <c r="L450" s="302"/>
      <c r="M450" s="302"/>
      <c r="N450" s="302"/>
      <c r="O450" s="302"/>
      <c r="P450" s="302"/>
      <c r="Q450" s="302"/>
      <c r="R450" s="302"/>
      <c r="S450" s="302"/>
      <c r="T450" s="413"/>
      <c r="U450" s="302"/>
      <c r="V450" s="302"/>
      <c r="W450" s="302"/>
      <c r="X450" s="302"/>
      <c r="Y450" s="302"/>
      <c r="Z450" s="302"/>
      <c r="AA450" s="302"/>
    </row>
    <row r="451" spans="1:27" ht="16" x14ac:dyDescent="0.2">
      <c r="A451" s="302"/>
      <c r="B451" s="302"/>
      <c r="C451" s="302"/>
      <c r="D451" s="302"/>
      <c r="E451" s="302"/>
      <c r="F451" s="302"/>
      <c r="G451" s="302"/>
      <c r="H451" s="302"/>
      <c r="I451" s="302"/>
      <c r="J451" s="302"/>
      <c r="K451" s="302"/>
      <c r="L451" s="302"/>
      <c r="M451" s="302"/>
      <c r="N451" s="302"/>
      <c r="O451" s="302"/>
      <c r="P451" s="302"/>
      <c r="Q451" s="302"/>
      <c r="R451" s="302"/>
      <c r="S451" s="302"/>
      <c r="T451" s="413"/>
      <c r="U451" s="302"/>
      <c r="V451" s="302"/>
      <c r="W451" s="302"/>
      <c r="X451" s="302"/>
      <c r="Y451" s="302"/>
      <c r="Z451" s="302"/>
      <c r="AA451" s="302"/>
    </row>
    <row r="452" spans="1:27" ht="16" x14ac:dyDescent="0.2">
      <c r="A452" s="302"/>
      <c r="B452" s="302"/>
      <c r="C452" s="302"/>
      <c r="D452" s="302"/>
      <c r="E452" s="302"/>
      <c r="F452" s="302"/>
      <c r="G452" s="302"/>
      <c r="H452" s="302"/>
      <c r="I452" s="302"/>
      <c r="J452" s="302"/>
      <c r="K452" s="302"/>
      <c r="L452" s="302"/>
      <c r="M452" s="302"/>
      <c r="N452" s="302"/>
      <c r="O452" s="302"/>
      <c r="P452" s="302"/>
      <c r="Q452" s="302"/>
      <c r="R452" s="302"/>
      <c r="S452" s="302"/>
      <c r="T452" s="413"/>
      <c r="U452" s="302"/>
      <c r="V452" s="302"/>
      <c r="W452" s="302"/>
      <c r="X452" s="302"/>
      <c r="Y452" s="302"/>
      <c r="Z452" s="302"/>
      <c r="AA452" s="302"/>
    </row>
    <row r="453" spans="1:27" ht="16" x14ac:dyDescent="0.2">
      <c r="A453" s="302"/>
      <c r="B453" s="302"/>
      <c r="C453" s="302"/>
      <c r="D453" s="302"/>
      <c r="E453" s="302"/>
      <c r="F453" s="302"/>
      <c r="G453" s="302"/>
      <c r="H453" s="302"/>
      <c r="I453" s="302"/>
      <c r="J453" s="302"/>
      <c r="K453" s="302"/>
      <c r="L453" s="302"/>
      <c r="M453" s="302"/>
      <c r="N453" s="302"/>
      <c r="O453" s="302"/>
      <c r="P453" s="302"/>
      <c r="Q453" s="302"/>
      <c r="R453" s="302"/>
      <c r="S453" s="302"/>
      <c r="T453" s="413"/>
      <c r="U453" s="302"/>
      <c r="V453" s="302"/>
      <c r="W453" s="302"/>
      <c r="X453" s="302"/>
      <c r="Y453" s="302"/>
      <c r="Z453" s="302"/>
      <c r="AA453" s="302"/>
    </row>
    <row r="454" spans="1:27" ht="16" x14ac:dyDescent="0.2">
      <c r="A454" s="302"/>
      <c r="B454" s="302"/>
      <c r="C454" s="302"/>
      <c r="D454" s="302"/>
      <c r="E454" s="302"/>
      <c r="F454" s="302"/>
      <c r="G454" s="302"/>
      <c r="H454" s="302"/>
      <c r="I454" s="302"/>
      <c r="J454" s="302"/>
      <c r="K454" s="302"/>
      <c r="L454" s="302"/>
      <c r="M454" s="302"/>
      <c r="N454" s="302"/>
      <c r="O454" s="302"/>
      <c r="P454" s="302"/>
      <c r="Q454" s="302"/>
      <c r="R454" s="302"/>
      <c r="S454" s="302"/>
      <c r="T454" s="413"/>
      <c r="U454" s="302"/>
      <c r="V454" s="302"/>
      <c r="W454" s="302"/>
      <c r="X454" s="302"/>
      <c r="Y454" s="302"/>
      <c r="Z454" s="302"/>
      <c r="AA454" s="302"/>
    </row>
    <row r="455" spans="1:27" ht="16" x14ac:dyDescent="0.2">
      <c r="A455" s="302"/>
      <c r="B455" s="302"/>
      <c r="C455" s="302"/>
      <c r="D455" s="302"/>
      <c r="E455" s="302"/>
      <c r="F455" s="302"/>
      <c r="G455" s="302"/>
      <c r="H455" s="302"/>
      <c r="I455" s="302"/>
      <c r="J455" s="302"/>
      <c r="K455" s="302"/>
      <c r="L455" s="302"/>
      <c r="M455" s="302"/>
      <c r="N455" s="302"/>
      <c r="O455" s="302"/>
      <c r="P455" s="302"/>
      <c r="Q455" s="302"/>
      <c r="R455" s="302"/>
      <c r="S455" s="302"/>
      <c r="T455" s="413"/>
      <c r="U455" s="302"/>
      <c r="V455" s="302"/>
      <c r="W455" s="302"/>
      <c r="X455" s="302"/>
      <c r="Y455" s="302"/>
      <c r="Z455" s="302"/>
      <c r="AA455" s="302"/>
    </row>
    <row r="456" spans="1:27" ht="16" x14ac:dyDescent="0.2">
      <c r="A456" s="302"/>
      <c r="B456" s="302"/>
      <c r="C456" s="302"/>
      <c r="D456" s="302"/>
      <c r="E456" s="302"/>
      <c r="F456" s="302"/>
      <c r="G456" s="302"/>
      <c r="H456" s="302"/>
      <c r="I456" s="302"/>
      <c r="J456" s="302"/>
      <c r="K456" s="302"/>
      <c r="L456" s="302"/>
      <c r="M456" s="302"/>
      <c r="N456" s="302"/>
      <c r="O456" s="302"/>
      <c r="P456" s="302"/>
      <c r="Q456" s="302"/>
      <c r="R456" s="302"/>
      <c r="S456" s="302"/>
      <c r="T456" s="413"/>
      <c r="U456" s="302"/>
      <c r="V456" s="302"/>
      <c r="W456" s="302"/>
      <c r="X456" s="302"/>
      <c r="Y456" s="302"/>
      <c r="Z456" s="302"/>
      <c r="AA456" s="302"/>
    </row>
    <row r="457" spans="1:27" ht="16" x14ac:dyDescent="0.2">
      <c r="A457" s="302"/>
      <c r="B457" s="302"/>
      <c r="C457" s="302"/>
      <c r="D457" s="302"/>
      <c r="E457" s="302"/>
      <c r="F457" s="302"/>
      <c r="G457" s="302"/>
      <c r="H457" s="302"/>
      <c r="I457" s="302"/>
      <c r="J457" s="302"/>
      <c r="K457" s="302"/>
      <c r="L457" s="302"/>
      <c r="M457" s="302"/>
      <c r="N457" s="302"/>
      <c r="O457" s="302"/>
      <c r="P457" s="302"/>
      <c r="Q457" s="302"/>
      <c r="R457" s="302"/>
      <c r="S457" s="302"/>
      <c r="T457" s="413"/>
      <c r="U457" s="302"/>
      <c r="V457" s="302"/>
      <c r="W457" s="302"/>
      <c r="X457" s="302"/>
      <c r="Y457" s="302"/>
      <c r="Z457" s="302"/>
      <c r="AA457" s="302"/>
    </row>
    <row r="458" spans="1:27" ht="16" x14ac:dyDescent="0.2">
      <c r="A458" s="302"/>
      <c r="B458" s="302"/>
      <c r="C458" s="302"/>
      <c r="D458" s="302"/>
      <c r="E458" s="302"/>
      <c r="F458" s="302"/>
      <c r="G458" s="302"/>
      <c r="H458" s="302"/>
      <c r="I458" s="302"/>
      <c r="J458" s="302"/>
      <c r="K458" s="302"/>
      <c r="L458" s="302"/>
      <c r="M458" s="302"/>
      <c r="N458" s="302"/>
      <c r="O458" s="302"/>
      <c r="P458" s="302"/>
      <c r="Q458" s="302"/>
      <c r="R458" s="302"/>
      <c r="S458" s="302"/>
      <c r="T458" s="413"/>
      <c r="U458" s="302"/>
      <c r="V458" s="302"/>
      <c r="W458" s="302"/>
      <c r="X458" s="302"/>
      <c r="Y458" s="302"/>
      <c r="Z458" s="302"/>
      <c r="AA458" s="302"/>
    </row>
    <row r="459" spans="1:27" ht="16" x14ac:dyDescent="0.2">
      <c r="A459" s="302"/>
      <c r="B459" s="302"/>
      <c r="C459" s="302"/>
      <c r="D459" s="302"/>
      <c r="E459" s="302"/>
      <c r="F459" s="302"/>
      <c r="G459" s="302"/>
      <c r="H459" s="302"/>
      <c r="I459" s="302"/>
      <c r="J459" s="302"/>
      <c r="K459" s="302"/>
      <c r="L459" s="302"/>
      <c r="M459" s="302"/>
      <c r="N459" s="302"/>
      <c r="O459" s="302"/>
      <c r="P459" s="302"/>
      <c r="Q459" s="302"/>
      <c r="R459" s="302"/>
      <c r="S459" s="302"/>
      <c r="T459" s="413"/>
      <c r="U459" s="302"/>
      <c r="V459" s="302"/>
      <c r="W459" s="302"/>
      <c r="X459" s="302"/>
      <c r="Y459" s="302"/>
      <c r="Z459" s="302"/>
      <c r="AA459" s="302"/>
    </row>
    <row r="460" spans="1:27" ht="16" x14ac:dyDescent="0.2">
      <c r="A460" s="302"/>
      <c r="B460" s="302"/>
      <c r="C460" s="302"/>
      <c r="D460" s="302"/>
      <c r="E460" s="302"/>
      <c r="F460" s="302"/>
      <c r="G460" s="302"/>
      <c r="H460" s="302"/>
      <c r="I460" s="302"/>
      <c r="J460" s="302"/>
      <c r="K460" s="302"/>
      <c r="L460" s="302"/>
      <c r="M460" s="302"/>
      <c r="N460" s="302"/>
      <c r="O460" s="302"/>
      <c r="P460" s="302"/>
      <c r="Q460" s="302"/>
      <c r="R460" s="302"/>
      <c r="S460" s="302"/>
      <c r="T460" s="413"/>
      <c r="U460" s="302"/>
      <c r="V460" s="302"/>
      <c r="W460" s="302"/>
      <c r="X460" s="302"/>
      <c r="Y460" s="302"/>
      <c r="Z460" s="302"/>
      <c r="AA460" s="302"/>
    </row>
    <row r="461" spans="1:27" ht="16" x14ac:dyDescent="0.2">
      <c r="A461" s="302"/>
      <c r="B461" s="302"/>
      <c r="C461" s="302"/>
      <c r="D461" s="302"/>
      <c r="E461" s="302"/>
      <c r="F461" s="302"/>
      <c r="G461" s="302"/>
      <c r="H461" s="302"/>
      <c r="I461" s="302"/>
      <c r="J461" s="302"/>
      <c r="K461" s="302"/>
      <c r="L461" s="302"/>
      <c r="M461" s="302"/>
      <c r="N461" s="302"/>
      <c r="O461" s="302"/>
      <c r="P461" s="302"/>
      <c r="Q461" s="302"/>
      <c r="R461" s="302"/>
      <c r="S461" s="302"/>
      <c r="T461" s="413"/>
      <c r="U461" s="302"/>
      <c r="V461" s="302"/>
      <c r="W461" s="302"/>
      <c r="X461" s="302"/>
      <c r="Y461" s="302"/>
      <c r="Z461" s="302"/>
      <c r="AA461" s="302"/>
    </row>
    <row r="462" spans="1:27" ht="16" x14ac:dyDescent="0.2">
      <c r="A462" s="302"/>
      <c r="B462" s="302"/>
      <c r="C462" s="302"/>
      <c r="D462" s="302"/>
      <c r="E462" s="302"/>
      <c r="F462" s="302"/>
      <c r="G462" s="302"/>
      <c r="H462" s="302"/>
      <c r="I462" s="302"/>
      <c r="J462" s="302"/>
      <c r="K462" s="302"/>
      <c r="L462" s="302"/>
      <c r="M462" s="302"/>
      <c r="N462" s="302"/>
      <c r="O462" s="302"/>
      <c r="P462" s="302"/>
      <c r="Q462" s="302"/>
      <c r="R462" s="302"/>
      <c r="S462" s="302"/>
      <c r="T462" s="413"/>
      <c r="U462" s="302"/>
      <c r="V462" s="302"/>
      <c r="W462" s="302"/>
      <c r="X462" s="302"/>
      <c r="Y462" s="302"/>
      <c r="Z462" s="302"/>
      <c r="AA462" s="302"/>
    </row>
    <row r="463" spans="1:27" ht="16" x14ac:dyDescent="0.2">
      <c r="A463" s="302"/>
      <c r="B463" s="302"/>
      <c r="C463" s="302"/>
      <c r="D463" s="302"/>
      <c r="E463" s="302"/>
      <c r="F463" s="302"/>
      <c r="G463" s="302"/>
      <c r="H463" s="302"/>
      <c r="I463" s="302"/>
      <c r="J463" s="302"/>
      <c r="K463" s="302"/>
      <c r="L463" s="302"/>
      <c r="M463" s="302"/>
      <c r="N463" s="302"/>
      <c r="O463" s="302"/>
      <c r="P463" s="302"/>
      <c r="Q463" s="302"/>
      <c r="R463" s="302"/>
      <c r="S463" s="302"/>
      <c r="T463" s="413"/>
      <c r="U463" s="302"/>
      <c r="V463" s="302"/>
      <c r="W463" s="302"/>
      <c r="X463" s="302"/>
      <c r="Y463" s="302"/>
      <c r="Z463" s="302"/>
      <c r="AA463" s="302"/>
    </row>
    <row r="464" spans="1:27" ht="16" x14ac:dyDescent="0.2">
      <c r="A464" s="302"/>
      <c r="B464" s="302"/>
      <c r="C464" s="302"/>
      <c r="D464" s="302"/>
      <c r="E464" s="302"/>
      <c r="F464" s="302"/>
      <c r="G464" s="302"/>
      <c r="H464" s="302"/>
      <c r="I464" s="302"/>
      <c r="J464" s="302"/>
      <c r="K464" s="302"/>
      <c r="L464" s="302"/>
      <c r="M464" s="302"/>
      <c r="N464" s="302"/>
      <c r="O464" s="302"/>
      <c r="P464" s="302"/>
      <c r="Q464" s="302"/>
      <c r="R464" s="302"/>
      <c r="S464" s="302"/>
      <c r="T464" s="413"/>
      <c r="U464" s="302"/>
      <c r="V464" s="302"/>
      <c r="W464" s="302"/>
      <c r="X464" s="302"/>
      <c r="Y464" s="302"/>
      <c r="Z464" s="302"/>
      <c r="AA464" s="302"/>
    </row>
    <row r="465" spans="1:27" ht="16" x14ac:dyDescent="0.2">
      <c r="A465" s="302"/>
      <c r="B465" s="302"/>
      <c r="C465" s="302"/>
      <c r="D465" s="302"/>
      <c r="E465" s="302"/>
      <c r="F465" s="302"/>
      <c r="G465" s="302"/>
      <c r="H465" s="302"/>
      <c r="I465" s="302"/>
      <c r="J465" s="302"/>
      <c r="K465" s="302"/>
      <c r="L465" s="302"/>
      <c r="M465" s="302"/>
      <c r="N465" s="302"/>
      <c r="O465" s="302"/>
      <c r="P465" s="302"/>
      <c r="Q465" s="302"/>
      <c r="R465" s="302"/>
      <c r="S465" s="302"/>
      <c r="T465" s="413"/>
      <c r="U465" s="302"/>
      <c r="V465" s="302"/>
      <c r="W465" s="302"/>
      <c r="X465" s="302"/>
      <c r="Y465" s="302"/>
      <c r="Z465" s="302"/>
      <c r="AA465" s="302"/>
    </row>
    <row r="466" spans="1:27" ht="16" x14ac:dyDescent="0.2">
      <c r="A466" s="302"/>
      <c r="B466" s="302"/>
      <c r="C466" s="302"/>
      <c r="D466" s="302"/>
      <c r="E466" s="302"/>
      <c r="F466" s="302"/>
      <c r="G466" s="302"/>
      <c r="H466" s="302"/>
      <c r="I466" s="302"/>
      <c r="J466" s="302"/>
      <c r="K466" s="302"/>
      <c r="L466" s="302"/>
      <c r="M466" s="302"/>
      <c r="N466" s="302"/>
      <c r="O466" s="302"/>
      <c r="P466" s="302"/>
      <c r="Q466" s="302"/>
      <c r="R466" s="302"/>
      <c r="S466" s="302"/>
      <c r="T466" s="413"/>
      <c r="U466" s="302"/>
      <c r="V466" s="302"/>
      <c r="W466" s="302"/>
      <c r="X466" s="302"/>
      <c r="Y466" s="302"/>
      <c r="Z466" s="302"/>
      <c r="AA466" s="302"/>
    </row>
    <row r="467" spans="1:27" ht="16" x14ac:dyDescent="0.2">
      <c r="A467" s="302"/>
      <c r="B467" s="302"/>
      <c r="C467" s="302"/>
      <c r="D467" s="302"/>
      <c r="E467" s="302"/>
      <c r="F467" s="302"/>
      <c r="G467" s="302"/>
      <c r="H467" s="302"/>
      <c r="I467" s="302"/>
      <c r="J467" s="302"/>
      <c r="K467" s="302"/>
      <c r="L467" s="302"/>
      <c r="M467" s="302"/>
      <c r="N467" s="302"/>
      <c r="O467" s="302"/>
      <c r="P467" s="302"/>
      <c r="Q467" s="302"/>
      <c r="R467" s="302"/>
      <c r="S467" s="302"/>
      <c r="T467" s="413"/>
      <c r="U467" s="302"/>
      <c r="V467" s="302"/>
      <c r="W467" s="302"/>
      <c r="X467" s="302"/>
      <c r="Y467" s="302"/>
      <c r="Z467" s="302"/>
      <c r="AA467" s="302"/>
    </row>
    <row r="468" spans="1:27" ht="16" x14ac:dyDescent="0.2">
      <c r="A468" s="302"/>
      <c r="B468" s="302"/>
      <c r="C468" s="302"/>
      <c r="D468" s="302"/>
      <c r="E468" s="302"/>
      <c r="F468" s="302"/>
      <c r="G468" s="302"/>
      <c r="H468" s="302"/>
      <c r="I468" s="302"/>
      <c r="J468" s="302"/>
      <c r="K468" s="302"/>
      <c r="L468" s="302"/>
      <c r="M468" s="302"/>
      <c r="N468" s="302"/>
      <c r="O468" s="302"/>
      <c r="P468" s="302"/>
      <c r="Q468" s="302"/>
      <c r="R468" s="302"/>
      <c r="S468" s="302"/>
      <c r="T468" s="413"/>
      <c r="U468" s="302"/>
      <c r="V468" s="302"/>
      <c r="W468" s="302"/>
      <c r="X468" s="302"/>
      <c r="Y468" s="302"/>
      <c r="Z468" s="302"/>
      <c r="AA468" s="302"/>
    </row>
    <row r="469" spans="1:27" ht="16" x14ac:dyDescent="0.2">
      <c r="A469" s="302"/>
      <c r="B469" s="302"/>
      <c r="C469" s="302"/>
      <c r="D469" s="302"/>
      <c r="E469" s="302"/>
      <c r="F469" s="302"/>
      <c r="G469" s="302"/>
      <c r="H469" s="302"/>
      <c r="I469" s="302"/>
      <c r="J469" s="302"/>
      <c r="K469" s="302"/>
      <c r="L469" s="302"/>
      <c r="M469" s="302"/>
      <c r="N469" s="302"/>
      <c r="O469" s="302"/>
      <c r="P469" s="302"/>
      <c r="Q469" s="302"/>
      <c r="R469" s="302"/>
      <c r="S469" s="302"/>
      <c r="T469" s="413"/>
      <c r="U469" s="302"/>
      <c r="V469" s="302"/>
      <c r="W469" s="302"/>
      <c r="X469" s="302"/>
      <c r="Y469" s="302"/>
      <c r="Z469" s="302"/>
      <c r="AA469" s="302"/>
    </row>
    <row r="470" spans="1:27" ht="16" x14ac:dyDescent="0.2">
      <c r="A470" s="302"/>
      <c r="B470" s="302"/>
      <c r="C470" s="302"/>
      <c r="D470" s="302"/>
      <c r="E470" s="302"/>
      <c r="F470" s="302"/>
      <c r="G470" s="302"/>
      <c r="H470" s="302"/>
      <c r="I470" s="302"/>
      <c r="J470" s="302"/>
      <c r="K470" s="302"/>
      <c r="L470" s="302"/>
      <c r="M470" s="302"/>
      <c r="N470" s="302"/>
      <c r="O470" s="302"/>
      <c r="P470" s="302"/>
      <c r="Q470" s="302"/>
      <c r="R470" s="302"/>
      <c r="S470" s="302"/>
      <c r="T470" s="413"/>
      <c r="U470" s="302"/>
      <c r="V470" s="302"/>
      <c r="W470" s="302"/>
      <c r="X470" s="302"/>
      <c r="Y470" s="302"/>
      <c r="Z470" s="302"/>
      <c r="AA470" s="302"/>
    </row>
    <row r="471" spans="1:27" ht="16" x14ac:dyDescent="0.2">
      <c r="A471" s="302"/>
      <c r="B471" s="302"/>
      <c r="C471" s="302"/>
      <c r="D471" s="302"/>
      <c r="E471" s="302"/>
      <c r="F471" s="302"/>
      <c r="G471" s="302"/>
      <c r="H471" s="302"/>
      <c r="I471" s="302"/>
      <c r="J471" s="302"/>
      <c r="K471" s="302"/>
      <c r="L471" s="302"/>
      <c r="M471" s="302"/>
      <c r="N471" s="302"/>
      <c r="O471" s="302"/>
      <c r="P471" s="302"/>
      <c r="Q471" s="302"/>
      <c r="R471" s="302"/>
      <c r="S471" s="302"/>
      <c r="T471" s="413"/>
      <c r="U471" s="302"/>
      <c r="V471" s="302"/>
      <c r="W471" s="302"/>
      <c r="X471" s="302"/>
      <c r="Y471" s="302"/>
      <c r="Z471" s="302"/>
      <c r="AA471" s="302"/>
    </row>
    <row r="472" spans="1:27" ht="16" x14ac:dyDescent="0.2">
      <c r="A472" s="302"/>
      <c r="B472" s="302"/>
      <c r="C472" s="302"/>
      <c r="D472" s="302"/>
      <c r="E472" s="302"/>
      <c r="F472" s="302"/>
      <c r="G472" s="302"/>
      <c r="H472" s="302"/>
      <c r="I472" s="302"/>
      <c r="J472" s="302"/>
      <c r="K472" s="302"/>
      <c r="L472" s="302"/>
      <c r="M472" s="302"/>
      <c r="N472" s="302"/>
      <c r="O472" s="302"/>
      <c r="P472" s="302"/>
      <c r="Q472" s="302"/>
      <c r="R472" s="302"/>
      <c r="S472" s="302"/>
      <c r="T472" s="413"/>
      <c r="U472" s="302"/>
      <c r="V472" s="302"/>
      <c r="W472" s="302"/>
      <c r="X472" s="302"/>
      <c r="Y472" s="302"/>
      <c r="Z472" s="302"/>
      <c r="AA472" s="302"/>
    </row>
    <row r="473" spans="1:27" ht="16" x14ac:dyDescent="0.2">
      <c r="A473" s="302"/>
      <c r="B473" s="302"/>
      <c r="C473" s="302"/>
      <c r="D473" s="302"/>
      <c r="E473" s="302"/>
      <c r="F473" s="302"/>
      <c r="G473" s="302"/>
      <c r="H473" s="302"/>
      <c r="I473" s="302"/>
      <c r="J473" s="302"/>
      <c r="K473" s="302"/>
      <c r="L473" s="302"/>
      <c r="M473" s="302"/>
      <c r="N473" s="302"/>
      <c r="O473" s="302"/>
      <c r="P473" s="302"/>
      <c r="Q473" s="302"/>
      <c r="R473" s="302"/>
      <c r="S473" s="302"/>
      <c r="T473" s="413"/>
      <c r="U473" s="302"/>
      <c r="V473" s="302"/>
      <c r="W473" s="302"/>
      <c r="X473" s="302"/>
      <c r="Y473" s="302"/>
      <c r="Z473" s="302"/>
      <c r="AA473" s="302"/>
    </row>
    <row r="474" spans="1:27" ht="16" x14ac:dyDescent="0.2">
      <c r="A474" s="302"/>
      <c r="B474" s="302"/>
      <c r="C474" s="302"/>
      <c r="D474" s="302"/>
      <c r="E474" s="302"/>
      <c r="F474" s="302"/>
      <c r="G474" s="302"/>
      <c r="H474" s="302"/>
      <c r="I474" s="302"/>
      <c r="J474" s="302"/>
      <c r="K474" s="302"/>
      <c r="L474" s="302"/>
      <c r="M474" s="302"/>
      <c r="N474" s="302"/>
      <c r="O474" s="302"/>
      <c r="P474" s="302"/>
      <c r="Q474" s="302"/>
      <c r="R474" s="302"/>
      <c r="S474" s="302"/>
      <c r="T474" s="413"/>
      <c r="U474" s="302"/>
      <c r="V474" s="302"/>
      <c r="W474" s="302"/>
      <c r="X474" s="302"/>
      <c r="Y474" s="302"/>
      <c r="Z474" s="302"/>
      <c r="AA474" s="302"/>
    </row>
    <row r="475" spans="1:27" ht="16" x14ac:dyDescent="0.2">
      <c r="A475" s="302"/>
      <c r="B475" s="302"/>
      <c r="C475" s="302"/>
      <c r="D475" s="302"/>
      <c r="E475" s="302"/>
      <c r="F475" s="302"/>
      <c r="G475" s="302"/>
      <c r="H475" s="302"/>
      <c r="I475" s="302"/>
      <c r="J475" s="302"/>
      <c r="K475" s="302"/>
      <c r="L475" s="302"/>
      <c r="M475" s="302"/>
      <c r="N475" s="302"/>
      <c r="O475" s="302"/>
      <c r="P475" s="302"/>
      <c r="Q475" s="302"/>
      <c r="R475" s="302"/>
      <c r="S475" s="302"/>
      <c r="T475" s="413"/>
      <c r="U475" s="302"/>
      <c r="V475" s="302"/>
      <c r="W475" s="302"/>
      <c r="X475" s="302"/>
      <c r="Y475" s="302"/>
      <c r="Z475" s="302"/>
      <c r="AA475" s="302"/>
    </row>
    <row r="476" spans="1:27" ht="16" x14ac:dyDescent="0.2">
      <c r="A476" s="302"/>
      <c r="B476" s="302"/>
      <c r="C476" s="302"/>
      <c r="D476" s="302"/>
      <c r="E476" s="302"/>
      <c r="F476" s="302"/>
      <c r="G476" s="302"/>
      <c r="H476" s="302"/>
      <c r="I476" s="302"/>
      <c r="J476" s="302"/>
      <c r="K476" s="302"/>
      <c r="L476" s="302"/>
      <c r="M476" s="302"/>
      <c r="N476" s="302"/>
      <c r="O476" s="302"/>
      <c r="P476" s="302"/>
      <c r="Q476" s="302"/>
      <c r="R476" s="302"/>
      <c r="S476" s="302"/>
      <c r="T476" s="413"/>
      <c r="U476" s="302"/>
      <c r="V476" s="302"/>
      <c r="W476" s="302"/>
      <c r="X476" s="302"/>
      <c r="Y476" s="302"/>
      <c r="Z476" s="302"/>
      <c r="AA476" s="302"/>
    </row>
    <row r="477" spans="1:27" ht="16" x14ac:dyDescent="0.2">
      <c r="A477" s="302"/>
      <c r="B477" s="302"/>
      <c r="C477" s="302"/>
      <c r="D477" s="302"/>
      <c r="E477" s="302"/>
      <c r="F477" s="302"/>
      <c r="G477" s="302"/>
      <c r="H477" s="302"/>
      <c r="I477" s="302"/>
      <c r="J477" s="302"/>
      <c r="K477" s="302"/>
      <c r="L477" s="302"/>
      <c r="M477" s="302"/>
      <c r="N477" s="302"/>
      <c r="O477" s="302"/>
      <c r="P477" s="302"/>
      <c r="Q477" s="302"/>
      <c r="R477" s="302"/>
      <c r="S477" s="302"/>
      <c r="T477" s="413"/>
      <c r="U477" s="302"/>
      <c r="V477" s="302"/>
      <c r="W477" s="302"/>
      <c r="X477" s="302"/>
      <c r="Y477" s="302"/>
      <c r="Z477" s="302"/>
      <c r="AA477" s="302"/>
    </row>
    <row r="478" spans="1:27" ht="16" x14ac:dyDescent="0.2">
      <c r="A478" s="302"/>
      <c r="B478" s="302"/>
      <c r="C478" s="302"/>
      <c r="D478" s="302"/>
      <c r="E478" s="302"/>
      <c r="F478" s="302"/>
      <c r="G478" s="302"/>
      <c r="H478" s="302"/>
      <c r="I478" s="302"/>
      <c r="J478" s="302"/>
      <c r="K478" s="302"/>
      <c r="L478" s="302"/>
      <c r="M478" s="302"/>
      <c r="N478" s="302"/>
      <c r="O478" s="302"/>
      <c r="P478" s="302"/>
      <c r="Q478" s="302"/>
      <c r="R478" s="302"/>
      <c r="S478" s="302"/>
      <c r="T478" s="413"/>
      <c r="U478" s="302"/>
      <c r="V478" s="302"/>
      <c r="W478" s="302"/>
      <c r="X478" s="302"/>
      <c r="Y478" s="302"/>
      <c r="Z478" s="302"/>
      <c r="AA478" s="302"/>
    </row>
    <row r="479" spans="1:27" ht="16" x14ac:dyDescent="0.2">
      <c r="A479" s="302"/>
      <c r="B479" s="302"/>
      <c r="C479" s="302"/>
      <c r="D479" s="302"/>
      <c r="E479" s="302"/>
      <c r="F479" s="302"/>
      <c r="G479" s="302"/>
      <c r="H479" s="302"/>
      <c r="I479" s="302"/>
      <c r="J479" s="302"/>
      <c r="K479" s="302"/>
      <c r="L479" s="302"/>
      <c r="M479" s="302"/>
      <c r="N479" s="302"/>
      <c r="O479" s="302"/>
      <c r="P479" s="302"/>
      <c r="Q479" s="302"/>
      <c r="R479" s="302"/>
      <c r="S479" s="302"/>
      <c r="T479" s="413"/>
      <c r="U479" s="302"/>
      <c r="V479" s="302"/>
      <c r="W479" s="302"/>
      <c r="X479" s="302"/>
      <c r="Y479" s="302"/>
      <c r="Z479" s="302"/>
      <c r="AA479" s="302"/>
    </row>
    <row r="480" spans="1:27" ht="16" x14ac:dyDescent="0.2">
      <c r="A480" s="302"/>
      <c r="B480" s="302"/>
      <c r="C480" s="302"/>
      <c r="D480" s="302"/>
      <c r="E480" s="302"/>
      <c r="F480" s="302"/>
      <c r="G480" s="302"/>
      <c r="H480" s="302"/>
      <c r="I480" s="302"/>
      <c r="J480" s="302"/>
      <c r="K480" s="302"/>
      <c r="L480" s="302"/>
      <c r="M480" s="302"/>
      <c r="N480" s="302"/>
      <c r="O480" s="302"/>
      <c r="P480" s="302"/>
      <c r="Q480" s="302"/>
      <c r="R480" s="302"/>
      <c r="S480" s="302"/>
      <c r="T480" s="413"/>
      <c r="U480" s="302"/>
      <c r="V480" s="302"/>
      <c r="W480" s="302"/>
      <c r="X480" s="302"/>
      <c r="Y480" s="302"/>
      <c r="Z480" s="302"/>
      <c r="AA480" s="302"/>
    </row>
    <row r="481" spans="1:27" ht="16" x14ac:dyDescent="0.2">
      <c r="A481" s="302"/>
      <c r="B481" s="302"/>
      <c r="C481" s="302"/>
      <c r="D481" s="302"/>
      <c r="E481" s="302"/>
      <c r="F481" s="302"/>
      <c r="G481" s="302"/>
      <c r="H481" s="302"/>
      <c r="I481" s="302"/>
      <c r="J481" s="302"/>
      <c r="K481" s="302"/>
      <c r="L481" s="302"/>
      <c r="M481" s="302"/>
      <c r="N481" s="302"/>
      <c r="O481" s="302"/>
      <c r="P481" s="302"/>
      <c r="Q481" s="302"/>
      <c r="R481" s="302"/>
      <c r="S481" s="302"/>
      <c r="T481" s="413"/>
      <c r="U481" s="302"/>
      <c r="V481" s="302"/>
      <c r="W481" s="302"/>
      <c r="X481" s="302"/>
      <c r="Y481" s="302"/>
      <c r="Z481" s="302"/>
      <c r="AA481" s="302"/>
    </row>
    <row r="482" spans="1:27" ht="16" x14ac:dyDescent="0.2">
      <c r="A482" s="302"/>
      <c r="B482" s="302"/>
      <c r="C482" s="302"/>
      <c r="D482" s="302"/>
      <c r="E482" s="302"/>
      <c r="F482" s="302"/>
      <c r="G482" s="302"/>
      <c r="H482" s="302"/>
      <c r="I482" s="302"/>
      <c r="J482" s="302"/>
      <c r="K482" s="302"/>
      <c r="L482" s="302"/>
      <c r="M482" s="302"/>
      <c r="N482" s="302"/>
      <c r="O482" s="302"/>
      <c r="P482" s="302"/>
      <c r="Q482" s="302"/>
      <c r="R482" s="302"/>
      <c r="S482" s="302"/>
      <c r="T482" s="413"/>
      <c r="U482" s="302"/>
      <c r="V482" s="302"/>
      <c r="W482" s="302"/>
      <c r="X482" s="302"/>
      <c r="Y482" s="302"/>
      <c r="Z482" s="302"/>
      <c r="AA482" s="302"/>
    </row>
    <row r="483" spans="1:27" ht="16" x14ac:dyDescent="0.2">
      <c r="A483" s="302"/>
      <c r="B483" s="302"/>
      <c r="C483" s="302"/>
      <c r="D483" s="302"/>
      <c r="E483" s="302"/>
      <c r="F483" s="302"/>
      <c r="G483" s="302"/>
      <c r="H483" s="302"/>
      <c r="I483" s="302"/>
      <c r="J483" s="302"/>
      <c r="K483" s="302"/>
      <c r="L483" s="302"/>
      <c r="M483" s="302"/>
      <c r="N483" s="302"/>
      <c r="O483" s="302"/>
      <c r="P483" s="302"/>
      <c r="Q483" s="302"/>
      <c r="R483" s="302"/>
      <c r="S483" s="302"/>
      <c r="T483" s="413"/>
      <c r="U483" s="302"/>
      <c r="V483" s="302"/>
      <c r="W483" s="302"/>
      <c r="X483" s="302"/>
      <c r="Y483" s="302"/>
      <c r="Z483" s="302"/>
      <c r="AA483" s="302"/>
    </row>
    <row r="484" spans="1:27" ht="16" x14ac:dyDescent="0.2">
      <c r="A484" s="302"/>
      <c r="B484" s="302"/>
      <c r="C484" s="302"/>
      <c r="D484" s="302"/>
      <c r="E484" s="302"/>
      <c r="F484" s="302"/>
      <c r="G484" s="302"/>
      <c r="H484" s="302"/>
      <c r="I484" s="302"/>
      <c r="J484" s="302"/>
      <c r="K484" s="302"/>
      <c r="L484" s="302"/>
      <c r="M484" s="302"/>
      <c r="N484" s="302"/>
      <c r="O484" s="302"/>
      <c r="P484" s="302"/>
      <c r="Q484" s="302"/>
      <c r="R484" s="302"/>
      <c r="S484" s="302"/>
      <c r="T484" s="413"/>
      <c r="U484" s="302"/>
      <c r="V484" s="302"/>
      <c r="W484" s="302"/>
      <c r="X484" s="302"/>
      <c r="Y484" s="302"/>
      <c r="Z484" s="302"/>
      <c r="AA484" s="302"/>
    </row>
    <row r="485" spans="1:27" ht="16" x14ac:dyDescent="0.2">
      <c r="A485" s="302"/>
      <c r="B485" s="302"/>
      <c r="C485" s="302"/>
      <c r="D485" s="302"/>
      <c r="E485" s="302"/>
      <c r="F485" s="302"/>
      <c r="G485" s="302"/>
      <c r="H485" s="302"/>
      <c r="I485" s="302"/>
      <c r="J485" s="302"/>
      <c r="K485" s="302"/>
      <c r="L485" s="302"/>
      <c r="M485" s="302"/>
      <c r="N485" s="302"/>
      <c r="O485" s="302"/>
      <c r="P485" s="302"/>
      <c r="Q485" s="302"/>
      <c r="R485" s="302"/>
      <c r="S485" s="302"/>
      <c r="T485" s="413"/>
      <c r="U485" s="302"/>
      <c r="V485" s="302"/>
      <c r="W485" s="302"/>
      <c r="X485" s="302"/>
      <c r="Y485" s="302"/>
      <c r="Z485" s="302"/>
      <c r="AA485" s="302"/>
    </row>
    <row r="486" spans="1:27" ht="16" x14ac:dyDescent="0.2">
      <c r="A486" s="302"/>
      <c r="B486" s="302"/>
      <c r="C486" s="302"/>
      <c r="D486" s="302"/>
      <c r="E486" s="302"/>
      <c r="F486" s="302"/>
      <c r="G486" s="302"/>
      <c r="H486" s="302"/>
      <c r="I486" s="302"/>
      <c r="J486" s="302"/>
      <c r="K486" s="302"/>
      <c r="L486" s="302"/>
      <c r="M486" s="302"/>
      <c r="N486" s="302"/>
      <c r="O486" s="302"/>
      <c r="P486" s="302"/>
      <c r="Q486" s="302"/>
      <c r="R486" s="302"/>
      <c r="S486" s="302"/>
      <c r="T486" s="413"/>
      <c r="U486" s="302"/>
      <c r="V486" s="302"/>
      <c r="W486" s="302"/>
      <c r="X486" s="302"/>
      <c r="Y486" s="302"/>
      <c r="Z486" s="302"/>
      <c r="AA486" s="302"/>
    </row>
    <row r="487" spans="1:27" ht="16" x14ac:dyDescent="0.2">
      <c r="A487" s="302"/>
      <c r="B487" s="302"/>
      <c r="C487" s="302"/>
      <c r="D487" s="302"/>
      <c r="E487" s="302"/>
      <c r="F487" s="302"/>
      <c r="G487" s="302"/>
      <c r="H487" s="302"/>
      <c r="I487" s="302"/>
      <c r="J487" s="302"/>
      <c r="K487" s="302"/>
      <c r="L487" s="302"/>
      <c r="M487" s="302"/>
      <c r="N487" s="302"/>
      <c r="O487" s="302"/>
      <c r="P487" s="302"/>
      <c r="Q487" s="302"/>
      <c r="R487" s="302"/>
      <c r="S487" s="302"/>
      <c r="T487" s="413"/>
      <c r="U487" s="302"/>
      <c r="V487" s="302"/>
      <c r="W487" s="302"/>
      <c r="X487" s="302"/>
      <c r="Y487" s="302"/>
      <c r="Z487" s="302"/>
      <c r="AA487" s="302"/>
    </row>
    <row r="488" spans="1:27" ht="16" x14ac:dyDescent="0.2">
      <c r="A488" s="302"/>
      <c r="B488" s="302"/>
      <c r="C488" s="302"/>
      <c r="D488" s="302"/>
      <c r="E488" s="302"/>
      <c r="F488" s="302"/>
      <c r="G488" s="302"/>
      <c r="H488" s="302"/>
      <c r="I488" s="302"/>
      <c r="J488" s="302"/>
      <c r="K488" s="302"/>
      <c r="L488" s="302"/>
      <c r="M488" s="302"/>
      <c r="N488" s="302"/>
      <c r="O488" s="302"/>
      <c r="P488" s="302"/>
      <c r="Q488" s="302"/>
      <c r="R488" s="302"/>
      <c r="S488" s="302"/>
      <c r="T488" s="413"/>
      <c r="U488" s="302"/>
      <c r="V488" s="302"/>
      <c r="W488" s="302"/>
      <c r="X488" s="302"/>
      <c r="Y488" s="302"/>
      <c r="Z488" s="302"/>
      <c r="AA488" s="302"/>
    </row>
    <row r="489" spans="1:27" ht="16" x14ac:dyDescent="0.2">
      <c r="A489" s="302"/>
      <c r="B489" s="302"/>
      <c r="C489" s="302"/>
      <c r="D489" s="302"/>
      <c r="E489" s="302"/>
      <c r="F489" s="302"/>
      <c r="G489" s="302"/>
      <c r="H489" s="302"/>
      <c r="I489" s="302"/>
      <c r="J489" s="302"/>
      <c r="K489" s="302"/>
      <c r="L489" s="302"/>
      <c r="M489" s="302"/>
      <c r="N489" s="302"/>
      <c r="O489" s="302"/>
      <c r="P489" s="302"/>
      <c r="Q489" s="302"/>
      <c r="R489" s="302"/>
      <c r="S489" s="302"/>
      <c r="T489" s="413"/>
      <c r="U489" s="302"/>
      <c r="V489" s="302"/>
      <c r="W489" s="302"/>
      <c r="X489" s="302"/>
      <c r="Y489" s="302"/>
      <c r="Z489" s="302"/>
      <c r="AA489" s="302"/>
    </row>
    <row r="490" spans="1:27" ht="16" x14ac:dyDescent="0.2">
      <c r="A490" s="302"/>
      <c r="B490" s="302"/>
      <c r="C490" s="302"/>
      <c r="D490" s="302"/>
      <c r="E490" s="302"/>
      <c r="F490" s="302"/>
      <c r="G490" s="302"/>
      <c r="H490" s="302"/>
      <c r="I490" s="302"/>
      <c r="J490" s="302"/>
      <c r="K490" s="302"/>
      <c r="L490" s="302"/>
      <c r="M490" s="302"/>
      <c r="N490" s="302"/>
      <c r="O490" s="302"/>
      <c r="P490" s="302"/>
      <c r="Q490" s="302"/>
      <c r="R490" s="302"/>
      <c r="S490" s="302"/>
      <c r="T490" s="413"/>
      <c r="U490" s="302"/>
      <c r="V490" s="302"/>
      <c r="W490" s="302"/>
      <c r="X490" s="302"/>
      <c r="Y490" s="302"/>
      <c r="Z490" s="302"/>
      <c r="AA490" s="302"/>
    </row>
    <row r="491" spans="1:27" ht="16" x14ac:dyDescent="0.2">
      <c r="A491" s="302"/>
      <c r="B491" s="302"/>
      <c r="C491" s="302"/>
      <c r="D491" s="302"/>
      <c r="E491" s="302"/>
      <c r="F491" s="302"/>
      <c r="G491" s="302"/>
      <c r="H491" s="302"/>
      <c r="I491" s="302"/>
      <c r="J491" s="302"/>
      <c r="K491" s="302"/>
      <c r="L491" s="302"/>
      <c r="M491" s="302"/>
      <c r="N491" s="302"/>
      <c r="O491" s="302"/>
      <c r="P491" s="302"/>
      <c r="Q491" s="302"/>
      <c r="R491" s="302"/>
      <c r="S491" s="302"/>
      <c r="T491" s="413"/>
      <c r="U491" s="302"/>
      <c r="V491" s="302"/>
      <c r="W491" s="302"/>
      <c r="X491" s="302"/>
      <c r="Y491" s="302"/>
      <c r="Z491" s="302"/>
      <c r="AA491" s="302"/>
    </row>
    <row r="492" spans="1:27" ht="16" x14ac:dyDescent="0.2">
      <c r="A492" s="302"/>
      <c r="B492" s="302"/>
      <c r="C492" s="302"/>
      <c r="D492" s="302"/>
      <c r="E492" s="302"/>
      <c r="F492" s="302"/>
      <c r="G492" s="302"/>
      <c r="H492" s="302"/>
      <c r="I492" s="302"/>
      <c r="J492" s="302"/>
      <c r="K492" s="302"/>
      <c r="L492" s="302"/>
      <c r="M492" s="302"/>
      <c r="N492" s="302"/>
      <c r="O492" s="302"/>
      <c r="P492" s="302"/>
      <c r="Q492" s="302"/>
      <c r="R492" s="302"/>
      <c r="S492" s="302"/>
      <c r="T492" s="413"/>
      <c r="U492" s="302"/>
      <c r="V492" s="302"/>
      <c r="W492" s="302"/>
      <c r="X492" s="302"/>
      <c r="Y492" s="302"/>
      <c r="Z492" s="302"/>
      <c r="AA492" s="302"/>
    </row>
    <row r="493" spans="1:27" ht="16" x14ac:dyDescent="0.2">
      <c r="A493" s="302"/>
      <c r="B493" s="302"/>
      <c r="C493" s="302"/>
      <c r="D493" s="302"/>
      <c r="E493" s="302"/>
      <c r="F493" s="302"/>
      <c r="G493" s="302"/>
      <c r="H493" s="302"/>
      <c r="I493" s="302"/>
      <c r="J493" s="302"/>
      <c r="K493" s="302"/>
      <c r="L493" s="302"/>
      <c r="M493" s="302"/>
      <c r="N493" s="302"/>
      <c r="O493" s="302"/>
      <c r="P493" s="302"/>
      <c r="Q493" s="302"/>
      <c r="R493" s="302"/>
      <c r="S493" s="302"/>
      <c r="T493" s="413"/>
      <c r="U493" s="302"/>
      <c r="V493" s="302"/>
      <c r="W493" s="302"/>
      <c r="X493" s="302"/>
      <c r="Y493" s="302"/>
      <c r="Z493" s="302"/>
      <c r="AA493" s="302"/>
    </row>
    <row r="494" spans="1:27" ht="16" x14ac:dyDescent="0.2">
      <c r="A494" s="302"/>
      <c r="B494" s="302"/>
      <c r="C494" s="302"/>
      <c r="D494" s="302"/>
      <c r="E494" s="302"/>
      <c r="F494" s="302"/>
      <c r="G494" s="302"/>
      <c r="H494" s="302"/>
      <c r="I494" s="302"/>
      <c r="J494" s="302"/>
      <c r="K494" s="302"/>
      <c r="L494" s="302"/>
      <c r="M494" s="302"/>
      <c r="N494" s="302"/>
      <c r="O494" s="302"/>
      <c r="P494" s="302"/>
      <c r="Q494" s="302"/>
      <c r="R494" s="302"/>
      <c r="S494" s="302"/>
      <c r="T494" s="413"/>
      <c r="U494" s="302"/>
      <c r="V494" s="302"/>
      <c r="W494" s="302"/>
      <c r="X494" s="302"/>
      <c r="Y494" s="302"/>
      <c r="Z494" s="302"/>
      <c r="AA494" s="302"/>
    </row>
    <row r="495" spans="1:27" ht="16" x14ac:dyDescent="0.2">
      <c r="A495" s="302"/>
      <c r="B495" s="302"/>
      <c r="C495" s="302"/>
      <c r="D495" s="302"/>
      <c r="E495" s="302"/>
      <c r="F495" s="302"/>
      <c r="G495" s="302"/>
      <c r="H495" s="302"/>
      <c r="I495" s="302"/>
      <c r="J495" s="302"/>
      <c r="K495" s="302"/>
      <c r="L495" s="302"/>
      <c r="M495" s="302"/>
      <c r="N495" s="302"/>
      <c r="O495" s="302"/>
      <c r="P495" s="302"/>
      <c r="Q495" s="302"/>
      <c r="R495" s="302"/>
      <c r="S495" s="302"/>
      <c r="T495" s="413"/>
      <c r="U495" s="302"/>
      <c r="V495" s="302"/>
      <c r="W495" s="302"/>
      <c r="X495" s="302"/>
      <c r="Y495" s="302"/>
      <c r="Z495" s="302"/>
      <c r="AA495" s="302"/>
    </row>
    <row r="496" spans="1:27" ht="16" x14ac:dyDescent="0.2">
      <c r="A496" s="302"/>
      <c r="B496" s="302"/>
      <c r="C496" s="302"/>
      <c r="D496" s="302"/>
      <c r="E496" s="302"/>
      <c r="F496" s="302"/>
      <c r="G496" s="302"/>
      <c r="H496" s="302"/>
      <c r="I496" s="302"/>
      <c r="J496" s="302"/>
      <c r="K496" s="302"/>
      <c r="L496" s="302"/>
      <c r="M496" s="302"/>
      <c r="N496" s="302"/>
      <c r="O496" s="302"/>
      <c r="P496" s="302"/>
      <c r="Q496" s="302"/>
      <c r="R496" s="302"/>
      <c r="S496" s="302"/>
      <c r="T496" s="413"/>
      <c r="U496" s="302"/>
      <c r="V496" s="302"/>
      <c r="W496" s="302"/>
      <c r="X496" s="302"/>
      <c r="Y496" s="302"/>
      <c r="Z496" s="302"/>
      <c r="AA496" s="302"/>
    </row>
    <row r="497" spans="1:27" ht="16" x14ac:dyDescent="0.2">
      <c r="A497" s="302"/>
      <c r="B497" s="302"/>
      <c r="C497" s="302"/>
      <c r="D497" s="302"/>
      <c r="E497" s="302"/>
      <c r="F497" s="302"/>
      <c r="G497" s="302"/>
      <c r="H497" s="302"/>
      <c r="I497" s="302"/>
      <c r="J497" s="302"/>
      <c r="K497" s="302"/>
      <c r="L497" s="302"/>
      <c r="M497" s="302"/>
      <c r="N497" s="302"/>
      <c r="O497" s="302"/>
      <c r="P497" s="302"/>
      <c r="Q497" s="302"/>
      <c r="R497" s="302"/>
      <c r="S497" s="302"/>
      <c r="T497" s="413"/>
      <c r="U497" s="302"/>
      <c r="V497" s="302"/>
      <c r="W497" s="302"/>
      <c r="X497" s="302"/>
      <c r="Y497" s="302"/>
      <c r="Z497" s="302"/>
      <c r="AA497" s="302"/>
    </row>
    <row r="498" spans="1:27" ht="16" x14ac:dyDescent="0.2">
      <c r="A498" s="302"/>
      <c r="B498" s="302"/>
      <c r="C498" s="302"/>
      <c r="D498" s="302"/>
      <c r="E498" s="302"/>
      <c r="F498" s="302"/>
      <c r="G498" s="302"/>
      <c r="H498" s="302"/>
      <c r="I498" s="302"/>
      <c r="J498" s="302"/>
      <c r="K498" s="302"/>
      <c r="L498" s="302"/>
      <c r="M498" s="302"/>
      <c r="N498" s="302"/>
      <c r="O498" s="302"/>
      <c r="P498" s="302"/>
      <c r="Q498" s="302"/>
      <c r="R498" s="302"/>
      <c r="S498" s="302"/>
      <c r="T498" s="413"/>
      <c r="U498" s="302"/>
      <c r="V498" s="302"/>
      <c r="W498" s="302"/>
      <c r="X498" s="302"/>
      <c r="Y498" s="302"/>
      <c r="Z498" s="302"/>
      <c r="AA498" s="302"/>
    </row>
    <row r="499" spans="1:27" ht="16" x14ac:dyDescent="0.2">
      <c r="A499" s="302"/>
      <c r="B499" s="302"/>
      <c r="C499" s="302"/>
      <c r="D499" s="302"/>
      <c r="E499" s="302"/>
      <c r="F499" s="302"/>
      <c r="G499" s="302"/>
      <c r="H499" s="302"/>
      <c r="I499" s="302"/>
      <c r="J499" s="302"/>
      <c r="K499" s="302"/>
      <c r="L499" s="302"/>
      <c r="M499" s="302"/>
      <c r="N499" s="302"/>
      <c r="O499" s="302"/>
      <c r="P499" s="302"/>
      <c r="Q499" s="302"/>
      <c r="R499" s="302"/>
      <c r="S499" s="302"/>
      <c r="T499" s="413"/>
      <c r="U499" s="302"/>
      <c r="V499" s="302"/>
      <c r="W499" s="302"/>
      <c r="X499" s="302"/>
      <c r="Y499" s="302"/>
      <c r="Z499" s="302"/>
      <c r="AA499" s="302"/>
    </row>
    <row r="500" spans="1:27" ht="16" x14ac:dyDescent="0.2">
      <c r="A500" s="302"/>
      <c r="B500" s="302"/>
      <c r="C500" s="302"/>
      <c r="D500" s="302"/>
      <c r="E500" s="302"/>
      <c r="F500" s="302"/>
      <c r="G500" s="302"/>
      <c r="H500" s="302"/>
      <c r="I500" s="302"/>
      <c r="J500" s="302"/>
      <c r="K500" s="302"/>
      <c r="L500" s="302"/>
      <c r="M500" s="302"/>
      <c r="N500" s="302"/>
      <c r="O500" s="302"/>
      <c r="P500" s="302"/>
      <c r="Q500" s="302"/>
      <c r="R500" s="302"/>
      <c r="S500" s="302"/>
      <c r="T500" s="413"/>
      <c r="U500" s="302"/>
      <c r="V500" s="302"/>
      <c r="W500" s="302"/>
      <c r="X500" s="302"/>
      <c r="Y500" s="302"/>
      <c r="Z500" s="302"/>
      <c r="AA500" s="302"/>
    </row>
    <row r="501" spans="1:27" ht="16" x14ac:dyDescent="0.2">
      <c r="A501" s="302"/>
      <c r="B501" s="302"/>
      <c r="C501" s="302"/>
      <c r="D501" s="302"/>
      <c r="E501" s="302"/>
      <c r="F501" s="302"/>
      <c r="G501" s="302"/>
      <c r="H501" s="302"/>
      <c r="I501" s="302"/>
      <c r="J501" s="302"/>
      <c r="K501" s="302"/>
      <c r="L501" s="302"/>
      <c r="M501" s="302"/>
      <c r="N501" s="302"/>
      <c r="O501" s="302"/>
      <c r="P501" s="302"/>
      <c r="Q501" s="302"/>
      <c r="R501" s="302"/>
      <c r="S501" s="302"/>
      <c r="T501" s="413"/>
      <c r="U501" s="302"/>
      <c r="V501" s="302"/>
      <c r="W501" s="302"/>
      <c r="X501" s="302"/>
      <c r="Y501" s="302"/>
      <c r="Z501" s="302"/>
      <c r="AA501" s="302"/>
    </row>
    <row r="502" spans="1:27" ht="16" x14ac:dyDescent="0.2">
      <c r="A502" s="302"/>
      <c r="B502" s="302"/>
      <c r="C502" s="302"/>
      <c r="D502" s="302"/>
      <c r="E502" s="302"/>
      <c r="F502" s="302"/>
      <c r="G502" s="302"/>
      <c r="H502" s="302"/>
      <c r="I502" s="302"/>
      <c r="J502" s="302"/>
      <c r="K502" s="302"/>
      <c r="L502" s="302"/>
      <c r="M502" s="302"/>
      <c r="N502" s="302"/>
      <c r="O502" s="302"/>
      <c r="P502" s="302"/>
      <c r="Q502" s="302"/>
      <c r="R502" s="302"/>
      <c r="S502" s="302"/>
      <c r="T502" s="413"/>
      <c r="U502" s="302"/>
      <c r="V502" s="302"/>
      <c r="W502" s="302"/>
      <c r="X502" s="302"/>
      <c r="Y502" s="302"/>
      <c r="Z502" s="302"/>
      <c r="AA502" s="302"/>
    </row>
    <row r="503" spans="1:27" ht="16" x14ac:dyDescent="0.2">
      <c r="A503" s="302"/>
      <c r="B503" s="302"/>
      <c r="C503" s="302"/>
      <c r="D503" s="302"/>
      <c r="E503" s="302"/>
      <c r="F503" s="302"/>
      <c r="G503" s="302"/>
      <c r="H503" s="302"/>
      <c r="I503" s="302"/>
      <c r="J503" s="302"/>
      <c r="K503" s="302"/>
      <c r="L503" s="302"/>
      <c r="M503" s="302"/>
      <c r="N503" s="302"/>
      <c r="O503" s="302"/>
      <c r="P503" s="302"/>
      <c r="Q503" s="302"/>
      <c r="R503" s="302"/>
      <c r="S503" s="302"/>
      <c r="T503" s="413"/>
      <c r="U503" s="302"/>
      <c r="V503" s="302"/>
      <c r="W503" s="302"/>
      <c r="X503" s="302"/>
      <c r="Y503" s="302"/>
      <c r="Z503" s="302"/>
      <c r="AA503" s="302"/>
    </row>
    <row r="504" spans="1:27" ht="16" x14ac:dyDescent="0.2">
      <c r="A504" s="302"/>
      <c r="B504" s="302"/>
      <c r="C504" s="302"/>
      <c r="D504" s="302"/>
      <c r="E504" s="302"/>
      <c r="F504" s="302"/>
      <c r="G504" s="302"/>
      <c r="H504" s="302"/>
      <c r="I504" s="302"/>
      <c r="J504" s="302"/>
      <c r="K504" s="302"/>
      <c r="L504" s="302"/>
      <c r="M504" s="302"/>
      <c r="N504" s="302"/>
      <c r="O504" s="302"/>
      <c r="P504" s="302"/>
      <c r="Q504" s="302"/>
      <c r="R504" s="302"/>
      <c r="S504" s="302"/>
      <c r="T504" s="413"/>
      <c r="U504" s="302"/>
      <c r="V504" s="302"/>
      <c r="W504" s="302"/>
      <c r="X504" s="302"/>
      <c r="Y504" s="302"/>
      <c r="Z504" s="302"/>
      <c r="AA504" s="302"/>
    </row>
    <row r="505" spans="1:27" ht="16" x14ac:dyDescent="0.2">
      <c r="A505" s="302"/>
      <c r="B505" s="302"/>
      <c r="C505" s="302"/>
      <c r="D505" s="302"/>
      <c r="E505" s="302"/>
      <c r="F505" s="302"/>
      <c r="G505" s="302"/>
      <c r="H505" s="302"/>
      <c r="I505" s="302"/>
      <c r="J505" s="302"/>
      <c r="K505" s="302"/>
      <c r="L505" s="302"/>
      <c r="M505" s="302"/>
      <c r="N505" s="302"/>
      <c r="O505" s="302"/>
      <c r="P505" s="302"/>
      <c r="Q505" s="302"/>
      <c r="R505" s="302"/>
      <c r="S505" s="302"/>
      <c r="T505" s="413"/>
      <c r="U505" s="302"/>
      <c r="V505" s="302"/>
      <c r="W505" s="302"/>
      <c r="X505" s="302"/>
      <c r="Y505" s="302"/>
      <c r="Z505" s="302"/>
      <c r="AA505" s="302"/>
    </row>
    <row r="506" spans="1:27" ht="16" x14ac:dyDescent="0.2">
      <c r="A506" s="302"/>
      <c r="B506" s="302"/>
      <c r="C506" s="302"/>
      <c r="D506" s="302"/>
      <c r="E506" s="302"/>
      <c r="F506" s="302"/>
      <c r="G506" s="302"/>
      <c r="H506" s="302"/>
      <c r="I506" s="302"/>
      <c r="J506" s="302"/>
      <c r="K506" s="302"/>
      <c r="L506" s="302"/>
      <c r="M506" s="302"/>
      <c r="N506" s="302"/>
      <c r="O506" s="302"/>
      <c r="P506" s="302"/>
      <c r="Q506" s="302"/>
      <c r="R506" s="302"/>
      <c r="S506" s="302"/>
      <c r="T506" s="413"/>
      <c r="U506" s="302"/>
      <c r="V506" s="302"/>
      <c r="W506" s="302"/>
      <c r="X506" s="302"/>
      <c r="Y506" s="302"/>
      <c r="Z506" s="302"/>
      <c r="AA506" s="302"/>
    </row>
    <row r="507" spans="1:27" ht="16" x14ac:dyDescent="0.2">
      <c r="A507" s="302"/>
      <c r="B507" s="302"/>
      <c r="C507" s="302"/>
      <c r="D507" s="302"/>
      <c r="E507" s="302"/>
      <c r="F507" s="302"/>
      <c r="G507" s="302"/>
      <c r="H507" s="302"/>
      <c r="I507" s="302"/>
      <c r="J507" s="302"/>
      <c r="K507" s="302"/>
      <c r="L507" s="302"/>
      <c r="M507" s="302"/>
      <c r="N507" s="302"/>
      <c r="O507" s="302"/>
      <c r="P507" s="302"/>
      <c r="Q507" s="302"/>
      <c r="R507" s="302"/>
      <c r="S507" s="302"/>
      <c r="T507" s="413"/>
      <c r="U507" s="302"/>
      <c r="V507" s="302"/>
      <c r="W507" s="302"/>
      <c r="X507" s="302"/>
      <c r="Y507" s="302"/>
      <c r="Z507" s="302"/>
      <c r="AA507" s="302"/>
    </row>
    <row r="508" spans="1:27" ht="16" x14ac:dyDescent="0.2">
      <c r="A508" s="302"/>
      <c r="B508" s="302"/>
      <c r="C508" s="302"/>
      <c r="D508" s="302"/>
      <c r="E508" s="302"/>
      <c r="F508" s="302"/>
      <c r="G508" s="302"/>
      <c r="H508" s="302"/>
      <c r="I508" s="302"/>
      <c r="J508" s="302"/>
      <c r="K508" s="302"/>
      <c r="L508" s="302"/>
      <c r="M508" s="302"/>
      <c r="N508" s="302"/>
      <c r="O508" s="302"/>
      <c r="P508" s="302"/>
      <c r="Q508" s="302"/>
      <c r="R508" s="302"/>
      <c r="S508" s="302"/>
      <c r="T508" s="413"/>
      <c r="U508" s="302"/>
      <c r="V508" s="302"/>
      <c r="W508" s="302"/>
      <c r="X508" s="302"/>
      <c r="Y508" s="302"/>
      <c r="Z508" s="302"/>
      <c r="AA508" s="302"/>
    </row>
    <row r="509" spans="1:27" ht="16" x14ac:dyDescent="0.2">
      <c r="A509" s="302"/>
      <c r="B509" s="302"/>
      <c r="C509" s="302"/>
      <c r="D509" s="302"/>
      <c r="E509" s="302"/>
      <c r="F509" s="302"/>
      <c r="G509" s="302"/>
      <c r="H509" s="302"/>
      <c r="I509" s="302"/>
      <c r="J509" s="302"/>
      <c r="K509" s="302"/>
      <c r="L509" s="302"/>
      <c r="M509" s="302"/>
      <c r="N509" s="302"/>
      <c r="O509" s="302"/>
      <c r="P509" s="302"/>
      <c r="Q509" s="302"/>
      <c r="R509" s="302"/>
      <c r="S509" s="302"/>
      <c r="T509" s="413"/>
      <c r="U509" s="302"/>
      <c r="V509" s="302"/>
      <c r="W509" s="302"/>
      <c r="X509" s="302"/>
      <c r="Y509" s="302"/>
      <c r="Z509" s="302"/>
      <c r="AA509" s="302"/>
    </row>
    <row r="510" spans="1:27" ht="16" x14ac:dyDescent="0.2">
      <c r="A510" s="302"/>
      <c r="B510" s="302"/>
      <c r="C510" s="302"/>
      <c r="D510" s="302"/>
      <c r="E510" s="302"/>
      <c r="F510" s="302"/>
      <c r="G510" s="302"/>
      <c r="H510" s="302"/>
      <c r="I510" s="302"/>
      <c r="J510" s="302"/>
      <c r="K510" s="302"/>
      <c r="L510" s="302"/>
      <c r="M510" s="302"/>
      <c r="N510" s="302"/>
      <c r="O510" s="302"/>
      <c r="P510" s="302"/>
      <c r="Q510" s="302"/>
      <c r="R510" s="302"/>
      <c r="S510" s="302"/>
      <c r="T510" s="413"/>
      <c r="U510" s="302"/>
      <c r="V510" s="302"/>
      <c r="W510" s="302"/>
      <c r="X510" s="302"/>
      <c r="Y510" s="302"/>
      <c r="Z510" s="302"/>
      <c r="AA510" s="302"/>
    </row>
    <row r="511" spans="1:27" ht="16" x14ac:dyDescent="0.2">
      <c r="A511" s="302"/>
      <c r="B511" s="302"/>
      <c r="C511" s="302"/>
      <c r="D511" s="302"/>
      <c r="E511" s="302"/>
      <c r="F511" s="302"/>
      <c r="G511" s="302"/>
      <c r="H511" s="302"/>
      <c r="I511" s="302"/>
      <c r="J511" s="302"/>
      <c r="K511" s="302"/>
      <c r="L511" s="302"/>
      <c r="M511" s="302"/>
      <c r="N511" s="302"/>
      <c r="O511" s="302"/>
      <c r="P511" s="302"/>
      <c r="Q511" s="302"/>
      <c r="R511" s="302"/>
      <c r="S511" s="302"/>
      <c r="T511" s="413"/>
      <c r="U511" s="302"/>
      <c r="V511" s="302"/>
      <c r="W511" s="302"/>
      <c r="X511" s="302"/>
      <c r="Y511" s="302"/>
      <c r="Z511" s="302"/>
      <c r="AA511" s="302"/>
    </row>
    <row r="512" spans="1:27" ht="16" x14ac:dyDescent="0.2">
      <c r="A512" s="302"/>
      <c r="B512" s="302"/>
      <c r="C512" s="302"/>
      <c r="D512" s="302"/>
      <c r="E512" s="302"/>
      <c r="F512" s="302"/>
      <c r="G512" s="302"/>
      <c r="H512" s="302"/>
      <c r="I512" s="302"/>
      <c r="J512" s="302"/>
      <c r="K512" s="302"/>
      <c r="L512" s="302"/>
      <c r="M512" s="302"/>
      <c r="N512" s="302"/>
      <c r="O512" s="302"/>
      <c r="P512" s="302"/>
      <c r="Q512" s="302"/>
      <c r="R512" s="302"/>
      <c r="S512" s="302"/>
      <c r="T512" s="413"/>
      <c r="U512" s="302"/>
      <c r="V512" s="302"/>
      <c r="W512" s="302"/>
      <c r="X512" s="302"/>
      <c r="Y512" s="302"/>
      <c r="Z512" s="302"/>
      <c r="AA512" s="302"/>
    </row>
    <row r="513" spans="1:27" ht="16" x14ac:dyDescent="0.2">
      <c r="A513" s="302"/>
      <c r="B513" s="302"/>
      <c r="C513" s="302"/>
      <c r="D513" s="302"/>
      <c r="E513" s="302"/>
      <c r="F513" s="302"/>
      <c r="G513" s="302"/>
      <c r="H513" s="302"/>
      <c r="I513" s="302"/>
      <c r="J513" s="302"/>
      <c r="K513" s="302"/>
      <c r="L513" s="302"/>
      <c r="M513" s="302"/>
      <c r="N513" s="302"/>
      <c r="O513" s="302"/>
      <c r="P513" s="302"/>
      <c r="Q513" s="302"/>
      <c r="R513" s="302"/>
      <c r="S513" s="302"/>
      <c r="T513" s="413"/>
      <c r="U513" s="302"/>
      <c r="V513" s="302"/>
      <c r="W513" s="302"/>
      <c r="X513" s="302"/>
      <c r="Y513" s="302"/>
      <c r="Z513" s="302"/>
      <c r="AA513" s="302"/>
    </row>
    <row r="514" spans="1:27" ht="16" x14ac:dyDescent="0.2">
      <c r="A514" s="302"/>
      <c r="B514" s="302"/>
      <c r="C514" s="302"/>
      <c r="D514" s="302"/>
      <c r="E514" s="302"/>
      <c r="F514" s="302"/>
      <c r="G514" s="302"/>
      <c r="H514" s="302"/>
      <c r="I514" s="302"/>
      <c r="J514" s="302"/>
      <c r="K514" s="302"/>
      <c r="L514" s="302"/>
      <c r="M514" s="302"/>
      <c r="N514" s="302"/>
      <c r="O514" s="302"/>
      <c r="P514" s="302"/>
      <c r="Q514" s="302"/>
      <c r="R514" s="302"/>
      <c r="S514" s="302"/>
      <c r="T514" s="413"/>
      <c r="U514" s="302"/>
      <c r="V514" s="302"/>
      <c r="W514" s="302"/>
      <c r="X514" s="302"/>
      <c r="Y514" s="302"/>
      <c r="Z514" s="302"/>
      <c r="AA514" s="302"/>
    </row>
    <row r="515" spans="1:27" ht="16" x14ac:dyDescent="0.2">
      <c r="A515" s="302"/>
      <c r="B515" s="302"/>
      <c r="C515" s="302"/>
      <c r="D515" s="302"/>
      <c r="E515" s="302"/>
      <c r="F515" s="302"/>
      <c r="G515" s="302"/>
      <c r="H515" s="302"/>
      <c r="I515" s="302"/>
      <c r="J515" s="302"/>
      <c r="K515" s="302"/>
      <c r="L515" s="302"/>
      <c r="M515" s="302"/>
      <c r="N515" s="302"/>
      <c r="O515" s="302"/>
      <c r="P515" s="302"/>
      <c r="Q515" s="302"/>
      <c r="R515" s="302"/>
      <c r="S515" s="302"/>
      <c r="T515" s="413"/>
      <c r="U515" s="302"/>
      <c r="V515" s="302"/>
      <c r="W515" s="302"/>
      <c r="X515" s="302"/>
      <c r="Y515" s="302"/>
      <c r="Z515" s="302"/>
      <c r="AA515" s="302"/>
    </row>
    <row r="516" spans="1:27" ht="16" x14ac:dyDescent="0.2">
      <c r="A516" s="302"/>
      <c r="B516" s="302"/>
      <c r="C516" s="302"/>
      <c r="D516" s="302"/>
      <c r="E516" s="302"/>
      <c r="F516" s="302"/>
      <c r="G516" s="302"/>
      <c r="H516" s="302"/>
      <c r="I516" s="302"/>
      <c r="J516" s="302"/>
      <c r="K516" s="302"/>
      <c r="L516" s="302"/>
      <c r="M516" s="302"/>
      <c r="N516" s="302"/>
      <c r="O516" s="302"/>
      <c r="P516" s="302"/>
      <c r="Q516" s="302"/>
      <c r="R516" s="302"/>
      <c r="S516" s="302"/>
      <c r="T516" s="413"/>
      <c r="U516" s="302"/>
      <c r="V516" s="302"/>
      <c r="W516" s="302"/>
      <c r="X516" s="302"/>
      <c r="Y516" s="302"/>
      <c r="Z516" s="302"/>
      <c r="AA516" s="302"/>
    </row>
    <row r="517" spans="1:27" ht="16" x14ac:dyDescent="0.2">
      <c r="A517" s="302"/>
      <c r="B517" s="302"/>
      <c r="C517" s="302"/>
      <c r="D517" s="302"/>
      <c r="E517" s="302"/>
      <c r="F517" s="302"/>
      <c r="G517" s="302"/>
      <c r="H517" s="302"/>
      <c r="I517" s="302"/>
      <c r="J517" s="302"/>
      <c r="K517" s="302"/>
      <c r="L517" s="302"/>
      <c r="M517" s="302"/>
      <c r="N517" s="302"/>
      <c r="O517" s="302"/>
      <c r="P517" s="302"/>
      <c r="Q517" s="302"/>
      <c r="R517" s="302"/>
      <c r="S517" s="302"/>
      <c r="T517" s="413"/>
      <c r="U517" s="302"/>
      <c r="V517" s="302"/>
      <c r="W517" s="302"/>
      <c r="X517" s="302"/>
      <c r="Y517" s="302"/>
      <c r="Z517" s="302"/>
      <c r="AA517" s="302"/>
    </row>
    <row r="518" spans="1:27" ht="16" x14ac:dyDescent="0.2">
      <c r="A518" s="302"/>
      <c r="B518" s="302"/>
      <c r="C518" s="302"/>
      <c r="D518" s="302"/>
      <c r="E518" s="302"/>
      <c r="F518" s="302"/>
      <c r="G518" s="302"/>
      <c r="H518" s="302"/>
      <c r="I518" s="302"/>
      <c r="J518" s="302"/>
      <c r="K518" s="302"/>
      <c r="L518" s="302"/>
      <c r="M518" s="302"/>
      <c r="N518" s="302"/>
      <c r="O518" s="302"/>
      <c r="P518" s="302"/>
      <c r="Q518" s="302"/>
      <c r="R518" s="302"/>
      <c r="S518" s="302"/>
      <c r="T518" s="413"/>
      <c r="U518" s="302"/>
      <c r="V518" s="302"/>
      <c r="W518" s="302"/>
      <c r="X518" s="302"/>
      <c r="Y518" s="302"/>
      <c r="Z518" s="302"/>
      <c r="AA518" s="302"/>
    </row>
    <row r="519" spans="1:27" ht="16" x14ac:dyDescent="0.2">
      <c r="A519" s="302"/>
      <c r="B519" s="302"/>
      <c r="C519" s="302"/>
      <c r="D519" s="302"/>
      <c r="E519" s="302"/>
      <c r="F519" s="302"/>
      <c r="G519" s="302"/>
      <c r="H519" s="302"/>
      <c r="I519" s="302"/>
      <c r="J519" s="302"/>
      <c r="K519" s="302"/>
      <c r="L519" s="302"/>
      <c r="M519" s="302"/>
      <c r="N519" s="302"/>
      <c r="O519" s="302"/>
      <c r="P519" s="302"/>
      <c r="Q519" s="302"/>
      <c r="R519" s="302"/>
      <c r="S519" s="302"/>
      <c r="T519" s="413"/>
      <c r="U519" s="302"/>
      <c r="V519" s="302"/>
      <c r="W519" s="302"/>
      <c r="X519" s="302"/>
      <c r="Y519" s="302"/>
      <c r="Z519" s="302"/>
      <c r="AA519" s="302"/>
    </row>
    <row r="520" spans="1:27" ht="16" x14ac:dyDescent="0.2">
      <c r="A520" s="302"/>
      <c r="B520" s="302"/>
      <c r="C520" s="302"/>
      <c r="D520" s="302"/>
      <c r="E520" s="302"/>
      <c r="F520" s="302"/>
      <c r="G520" s="302"/>
      <c r="H520" s="302"/>
      <c r="I520" s="302"/>
      <c r="J520" s="302"/>
      <c r="K520" s="302"/>
      <c r="L520" s="302"/>
      <c r="M520" s="302"/>
      <c r="N520" s="302"/>
      <c r="O520" s="302"/>
      <c r="P520" s="302"/>
      <c r="Q520" s="302"/>
      <c r="R520" s="302"/>
      <c r="S520" s="302"/>
      <c r="T520" s="413"/>
      <c r="U520" s="302"/>
      <c r="V520" s="302"/>
      <c r="W520" s="302"/>
      <c r="X520" s="302"/>
      <c r="Y520" s="302"/>
      <c r="Z520" s="302"/>
      <c r="AA520" s="302"/>
    </row>
    <row r="521" spans="1:27" ht="16" x14ac:dyDescent="0.2">
      <c r="A521" s="302"/>
      <c r="B521" s="302"/>
      <c r="C521" s="302"/>
      <c r="D521" s="302"/>
      <c r="E521" s="302"/>
      <c r="F521" s="302"/>
      <c r="G521" s="302"/>
      <c r="H521" s="302"/>
      <c r="I521" s="302"/>
      <c r="J521" s="302"/>
      <c r="K521" s="302"/>
      <c r="L521" s="302"/>
      <c r="M521" s="302"/>
      <c r="N521" s="302"/>
      <c r="O521" s="302"/>
      <c r="P521" s="302"/>
      <c r="Q521" s="302"/>
      <c r="R521" s="302"/>
      <c r="S521" s="302"/>
      <c r="T521" s="413"/>
      <c r="U521" s="302"/>
      <c r="V521" s="302"/>
      <c r="W521" s="302"/>
      <c r="X521" s="302"/>
      <c r="Y521" s="302"/>
      <c r="Z521" s="302"/>
      <c r="AA521" s="302"/>
    </row>
    <row r="522" spans="1:27" ht="16" x14ac:dyDescent="0.2">
      <c r="A522" s="302"/>
      <c r="B522" s="302"/>
      <c r="C522" s="302"/>
      <c r="D522" s="302"/>
      <c r="E522" s="302"/>
      <c r="F522" s="302"/>
      <c r="G522" s="302"/>
      <c r="H522" s="302"/>
      <c r="I522" s="302"/>
      <c r="J522" s="302"/>
      <c r="K522" s="302"/>
      <c r="L522" s="302"/>
      <c r="M522" s="302"/>
      <c r="N522" s="302"/>
      <c r="O522" s="302"/>
      <c r="P522" s="302"/>
      <c r="Q522" s="302"/>
      <c r="R522" s="302"/>
      <c r="S522" s="302"/>
      <c r="T522" s="413"/>
      <c r="U522" s="302"/>
      <c r="V522" s="302"/>
      <c r="W522" s="302"/>
      <c r="X522" s="302"/>
      <c r="Y522" s="302"/>
      <c r="Z522" s="302"/>
      <c r="AA522" s="302"/>
    </row>
    <row r="523" spans="1:27" ht="16" x14ac:dyDescent="0.2">
      <c r="A523" s="302"/>
      <c r="B523" s="302"/>
      <c r="C523" s="302"/>
      <c r="D523" s="302"/>
      <c r="E523" s="302"/>
      <c r="F523" s="302"/>
      <c r="G523" s="302"/>
      <c r="H523" s="302"/>
      <c r="I523" s="302"/>
      <c r="J523" s="302"/>
      <c r="K523" s="302"/>
      <c r="L523" s="302"/>
      <c r="M523" s="302"/>
      <c r="N523" s="302"/>
      <c r="O523" s="302"/>
      <c r="P523" s="302"/>
      <c r="Q523" s="302"/>
      <c r="R523" s="302"/>
      <c r="S523" s="302"/>
      <c r="T523" s="413"/>
      <c r="U523" s="302"/>
      <c r="V523" s="302"/>
      <c r="W523" s="302"/>
      <c r="X523" s="302"/>
      <c r="Y523" s="302"/>
      <c r="Z523" s="302"/>
      <c r="AA523" s="302"/>
    </row>
    <row r="524" spans="1:27" ht="16" x14ac:dyDescent="0.2">
      <c r="A524" s="302"/>
      <c r="B524" s="302"/>
      <c r="C524" s="302"/>
      <c r="D524" s="302"/>
      <c r="E524" s="302"/>
      <c r="F524" s="302"/>
      <c r="G524" s="302"/>
      <c r="H524" s="302"/>
      <c r="I524" s="302"/>
      <c r="J524" s="302"/>
      <c r="K524" s="302"/>
      <c r="L524" s="302"/>
      <c r="M524" s="302"/>
      <c r="N524" s="302"/>
      <c r="O524" s="302"/>
      <c r="P524" s="302"/>
      <c r="Q524" s="302"/>
      <c r="R524" s="302"/>
      <c r="S524" s="302"/>
      <c r="T524" s="413"/>
      <c r="U524" s="302"/>
      <c r="V524" s="302"/>
      <c r="W524" s="302"/>
      <c r="X524" s="302"/>
      <c r="Y524" s="302"/>
      <c r="Z524" s="302"/>
      <c r="AA524" s="302"/>
    </row>
    <row r="525" spans="1:27" ht="16" x14ac:dyDescent="0.2">
      <c r="A525" s="302"/>
      <c r="B525" s="302"/>
      <c r="C525" s="302"/>
      <c r="D525" s="302"/>
      <c r="E525" s="302"/>
      <c r="F525" s="302"/>
      <c r="G525" s="302"/>
      <c r="H525" s="302"/>
      <c r="I525" s="302"/>
      <c r="J525" s="302"/>
      <c r="K525" s="302"/>
      <c r="L525" s="302"/>
      <c r="M525" s="302"/>
      <c r="N525" s="302"/>
      <c r="O525" s="302"/>
      <c r="P525" s="302"/>
      <c r="Q525" s="302"/>
      <c r="R525" s="302"/>
      <c r="S525" s="302"/>
      <c r="T525" s="413"/>
      <c r="U525" s="302"/>
      <c r="V525" s="302"/>
      <c r="W525" s="302"/>
      <c r="X525" s="302"/>
      <c r="Y525" s="302"/>
      <c r="Z525" s="302"/>
      <c r="AA525" s="302"/>
    </row>
    <row r="526" spans="1:27" ht="16" x14ac:dyDescent="0.2">
      <c r="A526" s="302"/>
      <c r="B526" s="302"/>
      <c r="C526" s="302"/>
      <c r="D526" s="302"/>
      <c r="E526" s="302"/>
      <c r="F526" s="302"/>
      <c r="G526" s="302"/>
      <c r="H526" s="302"/>
      <c r="I526" s="302"/>
      <c r="J526" s="302"/>
      <c r="K526" s="302"/>
      <c r="L526" s="302"/>
      <c r="M526" s="302"/>
      <c r="N526" s="302"/>
      <c r="O526" s="302"/>
      <c r="P526" s="302"/>
      <c r="Q526" s="302"/>
      <c r="R526" s="302"/>
      <c r="S526" s="302"/>
      <c r="T526" s="413"/>
      <c r="U526" s="302"/>
      <c r="V526" s="302"/>
      <c r="W526" s="302"/>
      <c r="X526" s="302"/>
      <c r="Y526" s="302"/>
      <c r="Z526" s="302"/>
      <c r="AA526" s="302"/>
    </row>
    <row r="527" spans="1:27" ht="16" x14ac:dyDescent="0.2">
      <c r="A527" s="302"/>
      <c r="B527" s="302"/>
      <c r="C527" s="302"/>
      <c r="D527" s="302"/>
      <c r="E527" s="302"/>
      <c r="F527" s="302"/>
      <c r="G527" s="302"/>
      <c r="H527" s="302"/>
      <c r="I527" s="302"/>
      <c r="J527" s="302"/>
      <c r="K527" s="302"/>
      <c r="L527" s="302"/>
      <c r="M527" s="302"/>
      <c r="N527" s="302"/>
      <c r="O527" s="302"/>
      <c r="P527" s="302"/>
      <c r="Q527" s="302"/>
      <c r="R527" s="302"/>
      <c r="S527" s="302"/>
      <c r="T527" s="413"/>
      <c r="U527" s="302"/>
      <c r="V527" s="302"/>
      <c r="W527" s="302"/>
      <c r="X527" s="302"/>
      <c r="Y527" s="302"/>
      <c r="Z527" s="302"/>
      <c r="AA527" s="302"/>
    </row>
    <row r="528" spans="1:27" ht="16" x14ac:dyDescent="0.2">
      <c r="A528" s="302"/>
      <c r="B528" s="302"/>
      <c r="C528" s="302"/>
      <c r="D528" s="302"/>
      <c r="E528" s="302"/>
      <c r="F528" s="302"/>
      <c r="G528" s="302"/>
      <c r="H528" s="302"/>
      <c r="I528" s="302"/>
      <c r="J528" s="302"/>
      <c r="K528" s="302"/>
      <c r="L528" s="302"/>
      <c r="M528" s="302"/>
      <c r="N528" s="302"/>
      <c r="O528" s="302"/>
      <c r="P528" s="302"/>
      <c r="Q528" s="302"/>
      <c r="R528" s="302"/>
      <c r="S528" s="302"/>
      <c r="T528" s="413"/>
      <c r="U528" s="302"/>
      <c r="V528" s="302"/>
      <c r="W528" s="302"/>
      <c r="X528" s="302"/>
      <c r="Y528" s="302"/>
      <c r="Z528" s="302"/>
      <c r="AA528" s="302"/>
    </row>
    <row r="529" spans="1:27" ht="16" x14ac:dyDescent="0.2">
      <c r="A529" s="302"/>
      <c r="B529" s="302"/>
      <c r="C529" s="302"/>
      <c r="D529" s="302"/>
      <c r="E529" s="302"/>
      <c r="F529" s="302"/>
      <c r="G529" s="302"/>
      <c r="H529" s="302"/>
      <c r="I529" s="302"/>
      <c r="J529" s="302"/>
      <c r="K529" s="302"/>
      <c r="L529" s="302"/>
      <c r="M529" s="302"/>
      <c r="N529" s="302"/>
      <c r="O529" s="302"/>
      <c r="P529" s="302"/>
      <c r="Q529" s="302"/>
      <c r="R529" s="302"/>
      <c r="S529" s="302"/>
      <c r="T529" s="413"/>
      <c r="U529" s="302"/>
      <c r="V529" s="302"/>
      <c r="W529" s="302"/>
      <c r="X529" s="302"/>
      <c r="Y529" s="302"/>
      <c r="Z529" s="302"/>
      <c r="AA529" s="302"/>
    </row>
    <row r="530" spans="1:27" ht="16" x14ac:dyDescent="0.2">
      <c r="A530" s="302"/>
      <c r="B530" s="302"/>
      <c r="C530" s="302"/>
      <c r="D530" s="302"/>
      <c r="E530" s="302"/>
      <c r="F530" s="302"/>
      <c r="G530" s="302"/>
      <c r="H530" s="302"/>
      <c r="I530" s="302"/>
      <c r="J530" s="302"/>
      <c r="K530" s="302"/>
      <c r="L530" s="302"/>
      <c r="M530" s="302"/>
      <c r="N530" s="302"/>
      <c r="O530" s="302"/>
      <c r="P530" s="302"/>
      <c r="Q530" s="302"/>
      <c r="R530" s="302"/>
      <c r="S530" s="302"/>
      <c r="T530" s="413"/>
      <c r="U530" s="302"/>
      <c r="V530" s="302"/>
      <c r="W530" s="302"/>
      <c r="X530" s="302"/>
      <c r="Y530" s="302"/>
      <c r="Z530" s="302"/>
      <c r="AA530" s="302"/>
    </row>
    <row r="531" spans="1:27" ht="16" x14ac:dyDescent="0.2">
      <c r="A531" s="302"/>
      <c r="B531" s="302"/>
      <c r="C531" s="302"/>
      <c r="D531" s="302"/>
      <c r="E531" s="302"/>
      <c r="F531" s="302"/>
      <c r="G531" s="302"/>
      <c r="H531" s="302"/>
      <c r="I531" s="302"/>
      <c r="J531" s="302"/>
      <c r="K531" s="302"/>
      <c r="L531" s="302"/>
      <c r="M531" s="302"/>
      <c r="N531" s="302"/>
      <c r="O531" s="302"/>
      <c r="P531" s="302"/>
      <c r="Q531" s="302"/>
      <c r="R531" s="302"/>
      <c r="S531" s="302"/>
      <c r="T531" s="413"/>
      <c r="U531" s="302"/>
      <c r="V531" s="302"/>
      <c r="W531" s="302"/>
      <c r="X531" s="302"/>
      <c r="Y531" s="302"/>
      <c r="Z531" s="302"/>
      <c r="AA531" s="302"/>
    </row>
    <row r="532" spans="1:27" ht="16" x14ac:dyDescent="0.2">
      <c r="A532" s="302"/>
      <c r="B532" s="302"/>
      <c r="C532" s="302"/>
      <c r="D532" s="302"/>
      <c r="E532" s="302"/>
      <c r="F532" s="302"/>
      <c r="G532" s="302"/>
      <c r="H532" s="302"/>
      <c r="I532" s="302"/>
      <c r="J532" s="302"/>
      <c r="K532" s="302"/>
      <c r="L532" s="302"/>
      <c r="M532" s="302"/>
      <c r="N532" s="302"/>
      <c r="O532" s="302"/>
      <c r="P532" s="302"/>
      <c r="Q532" s="302"/>
      <c r="R532" s="302"/>
      <c r="S532" s="302"/>
      <c r="T532" s="413"/>
      <c r="U532" s="302"/>
      <c r="V532" s="302"/>
      <c r="W532" s="302"/>
      <c r="X532" s="302"/>
      <c r="Y532" s="302"/>
      <c r="Z532" s="302"/>
      <c r="AA532" s="302"/>
    </row>
    <row r="533" spans="1:27" ht="16" x14ac:dyDescent="0.2">
      <c r="A533" s="302"/>
      <c r="B533" s="302"/>
      <c r="C533" s="302"/>
      <c r="D533" s="302"/>
      <c r="E533" s="302"/>
      <c r="F533" s="302"/>
      <c r="G533" s="302"/>
      <c r="H533" s="302"/>
      <c r="I533" s="302"/>
      <c r="J533" s="302"/>
      <c r="K533" s="302"/>
      <c r="L533" s="302"/>
      <c r="M533" s="302"/>
      <c r="N533" s="302"/>
      <c r="O533" s="302"/>
      <c r="P533" s="302"/>
      <c r="Q533" s="302"/>
      <c r="R533" s="302"/>
      <c r="S533" s="302"/>
      <c r="T533" s="413"/>
      <c r="U533" s="302"/>
      <c r="V533" s="302"/>
      <c r="W533" s="302"/>
      <c r="X533" s="302"/>
      <c r="Y533" s="302"/>
      <c r="Z533" s="302"/>
      <c r="AA533" s="302"/>
    </row>
    <row r="534" spans="1:27" ht="16" x14ac:dyDescent="0.2">
      <c r="A534" s="302"/>
      <c r="B534" s="302"/>
      <c r="C534" s="302"/>
      <c r="D534" s="302"/>
      <c r="E534" s="302"/>
      <c r="F534" s="302"/>
      <c r="G534" s="302"/>
      <c r="H534" s="302"/>
      <c r="I534" s="302"/>
      <c r="J534" s="302"/>
      <c r="K534" s="302"/>
      <c r="L534" s="302"/>
      <c r="M534" s="302"/>
      <c r="N534" s="302"/>
      <c r="O534" s="302"/>
      <c r="P534" s="302"/>
      <c r="Q534" s="302"/>
      <c r="R534" s="302"/>
      <c r="S534" s="302"/>
      <c r="T534" s="413"/>
      <c r="U534" s="302"/>
      <c r="V534" s="302"/>
      <c r="W534" s="302"/>
      <c r="X534" s="302"/>
      <c r="Y534" s="302"/>
      <c r="Z534" s="302"/>
      <c r="AA534" s="302"/>
    </row>
    <row r="535" spans="1:27" ht="16" x14ac:dyDescent="0.2">
      <c r="A535" s="302"/>
      <c r="B535" s="302"/>
      <c r="C535" s="302"/>
      <c r="D535" s="302"/>
      <c r="E535" s="302"/>
      <c r="F535" s="302"/>
      <c r="G535" s="302"/>
      <c r="H535" s="302"/>
      <c r="I535" s="302"/>
      <c r="J535" s="302"/>
      <c r="K535" s="302"/>
      <c r="L535" s="302"/>
      <c r="M535" s="302"/>
      <c r="N535" s="302"/>
      <c r="O535" s="302"/>
      <c r="P535" s="302"/>
      <c r="Q535" s="302"/>
      <c r="R535" s="302"/>
      <c r="S535" s="302"/>
      <c r="T535" s="413"/>
      <c r="U535" s="302"/>
      <c r="V535" s="302"/>
      <c r="W535" s="302"/>
      <c r="X535" s="302"/>
      <c r="Y535" s="302"/>
      <c r="Z535" s="302"/>
      <c r="AA535" s="302"/>
    </row>
    <row r="536" spans="1:27" ht="16" x14ac:dyDescent="0.2">
      <c r="A536" s="302"/>
      <c r="B536" s="302"/>
      <c r="C536" s="302"/>
      <c r="D536" s="302"/>
      <c r="E536" s="302"/>
      <c r="F536" s="302"/>
      <c r="G536" s="302"/>
      <c r="H536" s="302"/>
      <c r="I536" s="302"/>
      <c r="J536" s="302"/>
      <c r="K536" s="302"/>
      <c r="L536" s="302"/>
      <c r="M536" s="302"/>
      <c r="N536" s="302"/>
      <c r="O536" s="302"/>
      <c r="P536" s="302"/>
      <c r="Q536" s="302"/>
      <c r="R536" s="302"/>
      <c r="S536" s="302"/>
      <c r="T536" s="413"/>
      <c r="U536" s="302"/>
      <c r="V536" s="302"/>
      <c r="W536" s="302"/>
      <c r="X536" s="302"/>
      <c r="Y536" s="302"/>
      <c r="Z536" s="302"/>
      <c r="AA536" s="302"/>
    </row>
    <row r="537" spans="1:27" ht="16" x14ac:dyDescent="0.2">
      <c r="A537" s="302"/>
      <c r="B537" s="302"/>
      <c r="C537" s="302"/>
      <c r="D537" s="302"/>
      <c r="E537" s="302"/>
      <c r="F537" s="302"/>
      <c r="G537" s="302"/>
      <c r="H537" s="302"/>
      <c r="I537" s="302"/>
      <c r="J537" s="302"/>
      <c r="K537" s="302"/>
      <c r="L537" s="302"/>
      <c r="M537" s="302"/>
      <c r="N537" s="302"/>
      <c r="O537" s="302"/>
      <c r="P537" s="302"/>
      <c r="Q537" s="302"/>
      <c r="R537" s="302"/>
      <c r="S537" s="302"/>
      <c r="T537" s="413"/>
      <c r="U537" s="302"/>
      <c r="V537" s="302"/>
      <c r="W537" s="302"/>
      <c r="X537" s="302"/>
      <c r="Y537" s="302"/>
      <c r="Z537" s="302"/>
      <c r="AA537" s="302"/>
    </row>
    <row r="538" spans="1:27" ht="16" x14ac:dyDescent="0.2">
      <c r="A538" s="302"/>
      <c r="B538" s="302"/>
      <c r="C538" s="302"/>
      <c r="D538" s="302"/>
      <c r="E538" s="302"/>
      <c r="F538" s="302"/>
      <c r="G538" s="302"/>
      <c r="H538" s="302"/>
      <c r="I538" s="302"/>
      <c r="J538" s="302"/>
      <c r="K538" s="302"/>
      <c r="L538" s="302"/>
      <c r="M538" s="302"/>
      <c r="N538" s="302"/>
      <c r="O538" s="302"/>
      <c r="P538" s="302"/>
      <c r="Q538" s="302"/>
      <c r="R538" s="302"/>
      <c r="S538" s="302"/>
      <c r="T538" s="413"/>
      <c r="U538" s="302"/>
      <c r="V538" s="302"/>
      <c r="W538" s="302"/>
      <c r="X538" s="302"/>
      <c r="Y538" s="302"/>
      <c r="Z538" s="302"/>
      <c r="AA538" s="302"/>
    </row>
    <row r="539" spans="1:27" ht="16" x14ac:dyDescent="0.2">
      <c r="A539" s="302"/>
      <c r="B539" s="302"/>
      <c r="C539" s="302"/>
      <c r="D539" s="302"/>
      <c r="E539" s="302"/>
      <c r="F539" s="302"/>
      <c r="G539" s="302"/>
      <c r="H539" s="302"/>
      <c r="I539" s="302"/>
      <c r="J539" s="302"/>
      <c r="K539" s="302"/>
      <c r="L539" s="302"/>
      <c r="M539" s="302"/>
      <c r="N539" s="302"/>
      <c r="O539" s="302"/>
      <c r="P539" s="302"/>
      <c r="Q539" s="302"/>
      <c r="R539" s="302"/>
      <c r="S539" s="302"/>
      <c r="T539" s="413"/>
      <c r="U539" s="302"/>
      <c r="V539" s="302"/>
      <c r="W539" s="302"/>
      <c r="X539" s="302"/>
      <c r="Y539" s="302"/>
      <c r="Z539" s="302"/>
      <c r="AA539" s="302"/>
    </row>
    <row r="540" spans="1:27" ht="16" x14ac:dyDescent="0.2">
      <c r="A540" s="302"/>
      <c r="B540" s="302"/>
      <c r="C540" s="302"/>
      <c r="D540" s="302"/>
      <c r="E540" s="302"/>
      <c r="F540" s="302"/>
      <c r="G540" s="302"/>
      <c r="H540" s="302"/>
      <c r="I540" s="302"/>
      <c r="J540" s="302"/>
      <c r="K540" s="302"/>
      <c r="L540" s="302"/>
      <c r="M540" s="302"/>
      <c r="N540" s="302"/>
      <c r="O540" s="302"/>
      <c r="P540" s="302"/>
      <c r="Q540" s="302"/>
      <c r="R540" s="302"/>
      <c r="S540" s="302"/>
      <c r="T540" s="413"/>
      <c r="U540" s="302"/>
      <c r="V540" s="302"/>
      <c r="W540" s="302"/>
      <c r="X540" s="302"/>
      <c r="Y540" s="302"/>
      <c r="Z540" s="302"/>
      <c r="AA540" s="302"/>
    </row>
    <row r="541" spans="1:27" ht="16" x14ac:dyDescent="0.2">
      <c r="A541" s="302"/>
      <c r="B541" s="302"/>
      <c r="C541" s="302"/>
      <c r="D541" s="302"/>
      <c r="E541" s="302"/>
      <c r="F541" s="302"/>
      <c r="G541" s="302"/>
      <c r="H541" s="302"/>
      <c r="I541" s="302"/>
      <c r="J541" s="302"/>
      <c r="K541" s="302"/>
      <c r="L541" s="302"/>
      <c r="M541" s="302"/>
      <c r="N541" s="302"/>
      <c r="O541" s="302"/>
      <c r="P541" s="302"/>
      <c r="Q541" s="302"/>
      <c r="R541" s="302"/>
      <c r="S541" s="302"/>
      <c r="T541" s="413"/>
      <c r="U541" s="302"/>
      <c r="V541" s="302"/>
      <c r="W541" s="302"/>
      <c r="X541" s="302"/>
      <c r="Y541" s="302"/>
      <c r="Z541" s="302"/>
      <c r="AA541" s="302"/>
    </row>
    <row r="542" spans="1:27" ht="16" x14ac:dyDescent="0.2">
      <c r="A542" s="302"/>
      <c r="B542" s="302"/>
      <c r="C542" s="302"/>
      <c r="D542" s="302"/>
      <c r="E542" s="302"/>
      <c r="F542" s="302"/>
      <c r="G542" s="302"/>
      <c r="H542" s="302"/>
      <c r="I542" s="302"/>
      <c r="J542" s="302"/>
      <c r="K542" s="302"/>
      <c r="L542" s="302"/>
      <c r="M542" s="302"/>
      <c r="N542" s="302"/>
      <c r="O542" s="302"/>
      <c r="P542" s="302"/>
      <c r="Q542" s="302"/>
      <c r="R542" s="302"/>
      <c r="S542" s="302"/>
      <c r="T542" s="413"/>
      <c r="U542" s="302"/>
      <c r="V542" s="302"/>
      <c r="W542" s="302"/>
      <c r="X542" s="302"/>
      <c r="Y542" s="302"/>
      <c r="Z542" s="302"/>
      <c r="AA542" s="302"/>
    </row>
    <row r="543" spans="1:27" ht="16" x14ac:dyDescent="0.2">
      <c r="A543" s="302"/>
      <c r="B543" s="302"/>
      <c r="C543" s="302"/>
      <c r="D543" s="302"/>
      <c r="E543" s="302"/>
      <c r="F543" s="302"/>
      <c r="G543" s="302"/>
      <c r="H543" s="302"/>
      <c r="I543" s="302"/>
      <c r="J543" s="302"/>
      <c r="K543" s="302"/>
      <c r="L543" s="302"/>
      <c r="M543" s="302"/>
      <c r="N543" s="302"/>
      <c r="O543" s="302"/>
      <c r="P543" s="302"/>
      <c r="Q543" s="302"/>
      <c r="R543" s="302"/>
      <c r="S543" s="302"/>
      <c r="T543" s="413"/>
      <c r="U543" s="302"/>
      <c r="V543" s="302"/>
      <c r="W543" s="302"/>
      <c r="X543" s="302"/>
      <c r="Y543" s="302"/>
      <c r="Z543" s="302"/>
      <c r="AA543" s="302"/>
    </row>
    <row r="544" spans="1:27" ht="16" x14ac:dyDescent="0.2">
      <c r="A544" s="302"/>
      <c r="B544" s="302"/>
      <c r="C544" s="302"/>
      <c r="D544" s="302"/>
      <c r="E544" s="302"/>
      <c r="F544" s="302"/>
      <c r="G544" s="302"/>
      <c r="H544" s="302"/>
      <c r="I544" s="302"/>
      <c r="J544" s="302"/>
      <c r="K544" s="302"/>
      <c r="L544" s="302"/>
      <c r="M544" s="302"/>
      <c r="N544" s="302"/>
      <c r="O544" s="302"/>
      <c r="P544" s="302"/>
      <c r="Q544" s="302"/>
      <c r="R544" s="302"/>
      <c r="S544" s="302"/>
      <c r="T544" s="413"/>
      <c r="U544" s="302"/>
      <c r="V544" s="302"/>
      <c r="W544" s="302"/>
      <c r="X544" s="302"/>
      <c r="Y544" s="302"/>
      <c r="Z544" s="302"/>
      <c r="AA544" s="302"/>
    </row>
    <row r="545" spans="1:27" ht="16" x14ac:dyDescent="0.2">
      <c r="A545" s="302"/>
      <c r="B545" s="302"/>
      <c r="C545" s="302"/>
      <c r="D545" s="302"/>
      <c r="E545" s="302"/>
      <c r="F545" s="302"/>
      <c r="G545" s="302"/>
      <c r="H545" s="302"/>
      <c r="I545" s="302"/>
      <c r="J545" s="302"/>
      <c r="K545" s="302"/>
      <c r="L545" s="302"/>
      <c r="M545" s="302"/>
      <c r="N545" s="302"/>
      <c r="O545" s="302"/>
      <c r="P545" s="302"/>
      <c r="Q545" s="302"/>
      <c r="R545" s="302"/>
      <c r="S545" s="302"/>
      <c r="T545" s="413"/>
      <c r="U545" s="302"/>
      <c r="V545" s="302"/>
      <c r="W545" s="302"/>
      <c r="X545" s="302"/>
      <c r="Y545" s="302"/>
      <c r="Z545" s="302"/>
      <c r="AA545" s="302"/>
    </row>
    <row r="546" spans="1:27" ht="16" x14ac:dyDescent="0.2">
      <c r="A546" s="302"/>
      <c r="B546" s="302"/>
      <c r="C546" s="302"/>
      <c r="D546" s="302"/>
      <c r="E546" s="302"/>
      <c r="F546" s="302"/>
      <c r="G546" s="302"/>
      <c r="H546" s="302"/>
      <c r="I546" s="302"/>
      <c r="J546" s="302"/>
      <c r="K546" s="302"/>
      <c r="L546" s="302"/>
      <c r="M546" s="302"/>
      <c r="N546" s="302"/>
      <c r="O546" s="302"/>
      <c r="P546" s="302"/>
      <c r="Q546" s="302"/>
      <c r="R546" s="302"/>
      <c r="S546" s="302"/>
      <c r="T546" s="413"/>
      <c r="U546" s="302"/>
      <c r="V546" s="302"/>
      <c r="W546" s="302"/>
      <c r="X546" s="302"/>
      <c r="Y546" s="302"/>
      <c r="Z546" s="302"/>
      <c r="AA546" s="302"/>
    </row>
    <row r="547" spans="1:27" ht="16" x14ac:dyDescent="0.2">
      <c r="A547" s="302"/>
      <c r="B547" s="302"/>
      <c r="C547" s="302"/>
      <c r="D547" s="302"/>
      <c r="E547" s="302"/>
      <c r="F547" s="302"/>
      <c r="G547" s="302"/>
      <c r="H547" s="302"/>
      <c r="I547" s="302"/>
      <c r="J547" s="302"/>
      <c r="K547" s="302"/>
      <c r="L547" s="302"/>
      <c r="M547" s="302"/>
      <c r="N547" s="302"/>
      <c r="O547" s="302"/>
      <c r="P547" s="302"/>
      <c r="Q547" s="302"/>
      <c r="R547" s="302"/>
      <c r="S547" s="302"/>
      <c r="T547" s="413"/>
      <c r="U547" s="302"/>
      <c r="V547" s="302"/>
      <c r="W547" s="302"/>
      <c r="X547" s="302"/>
      <c r="Y547" s="302"/>
      <c r="Z547" s="302"/>
      <c r="AA547" s="302"/>
    </row>
    <row r="548" spans="1:27" ht="16" x14ac:dyDescent="0.2">
      <c r="A548" s="302"/>
      <c r="B548" s="302"/>
      <c r="C548" s="302"/>
      <c r="D548" s="302"/>
      <c r="E548" s="302"/>
      <c r="F548" s="302"/>
      <c r="G548" s="302"/>
      <c r="H548" s="302"/>
      <c r="I548" s="302"/>
      <c r="J548" s="302"/>
      <c r="K548" s="302"/>
      <c r="L548" s="302"/>
      <c r="M548" s="302"/>
      <c r="N548" s="302"/>
      <c r="O548" s="302"/>
      <c r="P548" s="302"/>
      <c r="Q548" s="302"/>
      <c r="R548" s="302"/>
      <c r="S548" s="302"/>
      <c r="T548" s="413"/>
      <c r="U548" s="302"/>
      <c r="V548" s="302"/>
      <c r="W548" s="302"/>
      <c r="X548" s="302"/>
      <c r="Y548" s="302"/>
      <c r="Z548" s="302"/>
      <c r="AA548" s="302"/>
    </row>
    <row r="549" spans="1:27" ht="16" x14ac:dyDescent="0.2">
      <c r="A549" s="302"/>
      <c r="B549" s="302"/>
      <c r="C549" s="302"/>
      <c r="D549" s="302"/>
      <c r="E549" s="302"/>
      <c r="F549" s="302"/>
      <c r="G549" s="302"/>
      <c r="H549" s="302"/>
      <c r="I549" s="302"/>
      <c r="J549" s="302"/>
      <c r="K549" s="302"/>
      <c r="L549" s="302"/>
      <c r="M549" s="302"/>
      <c r="N549" s="302"/>
      <c r="O549" s="302"/>
      <c r="P549" s="302"/>
      <c r="Q549" s="302"/>
      <c r="R549" s="302"/>
      <c r="S549" s="302"/>
      <c r="T549" s="413"/>
      <c r="U549" s="302"/>
      <c r="V549" s="302"/>
      <c r="W549" s="302"/>
      <c r="X549" s="302"/>
      <c r="Y549" s="302"/>
      <c r="Z549" s="302"/>
      <c r="AA549" s="302"/>
    </row>
    <row r="550" spans="1:27" ht="16" x14ac:dyDescent="0.2">
      <c r="A550" s="302"/>
      <c r="B550" s="302"/>
      <c r="C550" s="302"/>
      <c r="D550" s="302"/>
      <c r="E550" s="302"/>
      <c r="F550" s="302"/>
      <c r="G550" s="302"/>
      <c r="H550" s="302"/>
      <c r="I550" s="302"/>
      <c r="J550" s="302"/>
      <c r="K550" s="302"/>
      <c r="L550" s="302"/>
      <c r="M550" s="302"/>
      <c r="N550" s="302"/>
      <c r="O550" s="302"/>
      <c r="P550" s="302"/>
      <c r="Q550" s="302"/>
      <c r="R550" s="302"/>
      <c r="S550" s="302"/>
      <c r="T550" s="413"/>
      <c r="U550" s="302"/>
      <c r="V550" s="302"/>
      <c r="W550" s="302"/>
      <c r="X550" s="302"/>
      <c r="Y550" s="302"/>
      <c r="Z550" s="302"/>
      <c r="AA550" s="302"/>
    </row>
    <row r="551" spans="1:27" ht="16" x14ac:dyDescent="0.2">
      <c r="A551" s="302"/>
      <c r="B551" s="302"/>
      <c r="C551" s="302"/>
      <c r="D551" s="302"/>
      <c r="E551" s="302"/>
      <c r="F551" s="302"/>
      <c r="G551" s="302"/>
      <c r="H551" s="302"/>
      <c r="I551" s="302"/>
      <c r="J551" s="302"/>
      <c r="K551" s="302"/>
      <c r="L551" s="302"/>
      <c r="M551" s="302"/>
      <c r="N551" s="302"/>
      <c r="O551" s="302"/>
      <c r="P551" s="302"/>
      <c r="Q551" s="302"/>
      <c r="R551" s="302"/>
      <c r="S551" s="302"/>
      <c r="T551" s="413"/>
      <c r="U551" s="302"/>
      <c r="V551" s="302"/>
      <c r="W551" s="302"/>
      <c r="X551" s="302"/>
      <c r="Y551" s="302"/>
      <c r="Z551" s="302"/>
      <c r="AA551" s="302"/>
    </row>
    <row r="552" spans="1:27" ht="16" x14ac:dyDescent="0.2">
      <c r="A552" s="302"/>
      <c r="B552" s="302"/>
      <c r="C552" s="302"/>
      <c r="D552" s="302"/>
      <c r="E552" s="302"/>
      <c r="F552" s="302"/>
      <c r="G552" s="302"/>
      <c r="H552" s="302"/>
      <c r="I552" s="302"/>
      <c r="J552" s="302"/>
      <c r="K552" s="302"/>
      <c r="L552" s="302"/>
      <c r="M552" s="302"/>
      <c r="N552" s="302"/>
      <c r="O552" s="302"/>
      <c r="P552" s="302"/>
      <c r="Q552" s="302"/>
      <c r="R552" s="302"/>
      <c r="S552" s="302"/>
      <c r="T552" s="413"/>
      <c r="U552" s="302"/>
      <c r="V552" s="302"/>
      <c r="W552" s="302"/>
      <c r="X552" s="302"/>
      <c r="Y552" s="302"/>
      <c r="Z552" s="302"/>
      <c r="AA552" s="302"/>
    </row>
    <row r="553" spans="1:27" ht="16" x14ac:dyDescent="0.2">
      <c r="A553" s="302"/>
      <c r="B553" s="302"/>
      <c r="C553" s="302"/>
      <c r="D553" s="302"/>
      <c r="E553" s="302"/>
      <c r="F553" s="302"/>
      <c r="G553" s="302"/>
      <c r="H553" s="302"/>
      <c r="I553" s="302"/>
      <c r="J553" s="302"/>
      <c r="K553" s="302"/>
      <c r="L553" s="302"/>
      <c r="M553" s="302"/>
      <c r="N553" s="302"/>
      <c r="O553" s="302"/>
      <c r="P553" s="302"/>
      <c r="Q553" s="302"/>
      <c r="R553" s="302"/>
      <c r="S553" s="302"/>
      <c r="T553" s="413"/>
      <c r="U553" s="302"/>
      <c r="V553" s="302"/>
      <c r="W553" s="302"/>
      <c r="X553" s="302"/>
      <c r="Y553" s="302"/>
      <c r="Z553" s="302"/>
      <c r="AA553" s="302"/>
    </row>
    <row r="554" spans="1:27" ht="16" x14ac:dyDescent="0.2">
      <c r="A554" s="302"/>
      <c r="B554" s="302"/>
      <c r="C554" s="302"/>
      <c r="D554" s="302"/>
      <c r="E554" s="302"/>
      <c r="F554" s="302"/>
      <c r="G554" s="302"/>
      <c r="H554" s="302"/>
      <c r="I554" s="302"/>
      <c r="J554" s="302"/>
      <c r="K554" s="302"/>
      <c r="L554" s="302"/>
      <c r="M554" s="302"/>
      <c r="N554" s="302"/>
      <c r="O554" s="302"/>
      <c r="P554" s="302"/>
      <c r="Q554" s="302"/>
      <c r="R554" s="302"/>
      <c r="S554" s="302"/>
      <c r="T554" s="413"/>
      <c r="U554" s="302"/>
      <c r="V554" s="302"/>
      <c r="W554" s="302"/>
      <c r="X554" s="302"/>
      <c r="Y554" s="302"/>
      <c r="Z554" s="302"/>
      <c r="AA554" s="302"/>
    </row>
    <row r="555" spans="1:27" ht="16" x14ac:dyDescent="0.2">
      <c r="A555" s="302"/>
      <c r="B555" s="302"/>
      <c r="C555" s="302"/>
      <c r="D555" s="302"/>
      <c r="E555" s="302"/>
      <c r="F555" s="302"/>
      <c r="G555" s="302"/>
      <c r="H555" s="302"/>
      <c r="I555" s="302"/>
      <c r="J555" s="302"/>
      <c r="K555" s="302"/>
      <c r="L555" s="302"/>
      <c r="M555" s="302"/>
      <c r="N555" s="302"/>
      <c r="O555" s="302"/>
      <c r="P555" s="302"/>
      <c r="Q555" s="302"/>
      <c r="R555" s="302"/>
      <c r="S555" s="302"/>
      <c r="T555" s="413"/>
      <c r="U555" s="302"/>
      <c r="V555" s="302"/>
      <c r="W555" s="302"/>
      <c r="X555" s="302"/>
      <c r="Y555" s="302"/>
      <c r="Z555" s="302"/>
      <c r="AA555" s="302"/>
    </row>
    <row r="556" spans="1:27" ht="16" x14ac:dyDescent="0.2">
      <c r="A556" s="302"/>
      <c r="B556" s="302"/>
      <c r="C556" s="302"/>
      <c r="D556" s="302"/>
      <c r="E556" s="302"/>
      <c r="F556" s="302"/>
      <c r="G556" s="302"/>
      <c r="H556" s="302"/>
      <c r="I556" s="302"/>
      <c r="J556" s="302"/>
      <c r="K556" s="302"/>
      <c r="L556" s="302"/>
      <c r="M556" s="302"/>
      <c r="N556" s="302"/>
      <c r="O556" s="302"/>
      <c r="P556" s="302"/>
      <c r="Q556" s="302"/>
      <c r="R556" s="302"/>
      <c r="S556" s="302"/>
      <c r="T556" s="413"/>
      <c r="U556" s="302"/>
      <c r="V556" s="302"/>
      <c r="W556" s="302"/>
      <c r="X556" s="302"/>
      <c r="Y556" s="302"/>
      <c r="Z556" s="302"/>
      <c r="AA556" s="302"/>
    </row>
    <row r="557" spans="1:27" ht="16" x14ac:dyDescent="0.2">
      <c r="A557" s="302"/>
      <c r="B557" s="302"/>
      <c r="C557" s="302"/>
      <c r="D557" s="302"/>
      <c r="E557" s="302"/>
      <c r="F557" s="302"/>
      <c r="G557" s="302"/>
      <c r="H557" s="302"/>
      <c r="I557" s="302"/>
      <c r="J557" s="302"/>
      <c r="K557" s="302"/>
      <c r="L557" s="302"/>
      <c r="M557" s="302"/>
      <c r="N557" s="302"/>
      <c r="O557" s="302"/>
      <c r="P557" s="302"/>
      <c r="Q557" s="302"/>
      <c r="R557" s="302"/>
      <c r="S557" s="302"/>
      <c r="T557" s="413"/>
      <c r="U557" s="302"/>
      <c r="V557" s="302"/>
      <c r="W557" s="302"/>
      <c r="X557" s="302"/>
      <c r="Y557" s="302"/>
      <c r="Z557" s="302"/>
      <c r="AA557" s="302"/>
    </row>
    <row r="558" spans="1:27" ht="16" x14ac:dyDescent="0.2">
      <c r="A558" s="302"/>
      <c r="B558" s="302"/>
      <c r="C558" s="302"/>
      <c r="D558" s="302"/>
      <c r="E558" s="302"/>
      <c r="F558" s="302"/>
      <c r="G558" s="302"/>
      <c r="H558" s="302"/>
      <c r="I558" s="302"/>
      <c r="J558" s="302"/>
      <c r="K558" s="302"/>
      <c r="L558" s="302"/>
      <c r="M558" s="302"/>
      <c r="N558" s="302"/>
      <c r="O558" s="302"/>
      <c r="P558" s="302"/>
      <c r="Q558" s="302"/>
      <c r="R558" s="302"/>
      <c r="S558" s="302"/>
      <c r="T558" s="413"/>
      <c r="U558" s="302"/>
      <c r="V558" s="302"/>
      <c r="W558" s="302"/>
      <c r="X558" s="302"/>
      <c r="Y558" s="302"/>
      <c r="Z558" s="302"/>
      <c r="AA558" s="302"/>
    </row>
    <row r="559" spans="1:27" ht="16" x14ac:dyDescent="0.2">
      <c r="A559" s="302"/>
      <c r="B559" s="302"/>
      <c r="C559" s="302"/>
      <c r="D559" s="302"/>
      <c r="E559" s="302"/>
      <c r="F559" s="302"/>
      <c r="G559" s="302"/>
      <c r="H559" s="302"/>
      <c r="I559" s="302"/>
      <c r="J559" s="302"/>
      <c r="K559" s="302"/>
      <c r="L559" s="302"/>
      <c r="M559" s="302"/>
      <c r="N559" s="302"/>
      <c r="O559" s="302"/>
      <c r="P559" s="302"/>
      <c r="Q559" s="302"/>
      <c r="R559" s="302"/>
      <c r="S559" s="302"/>
      <c r="T559" s="413"/>
      <c r="U559" s="302"/>
      <c r="V559" s="302"/>
      <c r="W559" s="302"/>
      <c r="X559" s="302"/>
      <c r="Y559" s="302"/>
      <c r="Z559" s="302"/>
      <c r="AA559" s="302"/>
    </row>
    <row r="560" spans="1:27" ht="16" x14ac:dyDescent="0.2">
      <c r="A560" s="302"/>
      <c r="B560" s="302"/>
      <c r="C560" s="302"/>
      <c r="D560" s="302"/>
      <c r="E560" s="302"/>
      <c r="F560" s="302"/>
      <c r="G560" s="302"/>
      <c r="H560" s="302"/>
      <c r="I560" s="302"/>
      <c r="J560" s="302"/>
      <c r="K560" s="302"/>
      <c r="L560" s="302"/>
      <c r="M560" s="302"/>
      <c r="N560" s="302"/>
      <c r="O560" s="302"/>
      <c r="P560" s="302"/>
      <c r="Q560" s="302"/>
      <c r="R560" s="302"/>
      <c r="S560" s="302"/>
      <c r="T560" s="413"/>
      <c r="U560" s="302"/>
      <c r="V560" s="302"/>
      <c r="W560" s="302"/>
      <c r="X560" s="302"/>
      <c r="Y560" s="302"/>
      <c r="Z560" s="302"/>
      <c r="AA560" s="302"/>
    </row>
    <row r="561" spans="1:27" ht="16" x14ac:dyDescent="0.2">
      <c r="A561" s="302"/>
      <c r="B561" s="302"/>
      <c r="C561" s="302"/>
      <c r="D561" s="302"/>
      <c r="E561" s="302"/>
      <c r="F561" s="302"/>
      <c r="G561" s="302"/>
      <c r="H561" s="302"/>
      <c r="I561" s="302"/>
      <c r="J561" s="302"/>
      <c r="K561" s="302"/>
      <c r="L561" s="302"/>
      <c r="M561" s="302"/>
      <c r="N561" s="302"/>
      <c r="O561" s="302"/>
      <c r="P561" s="302"/>
      <c r="Q561" s="302"/>
      <c r="R561" s="302"/>
      <c r="S561" s="302"/>
      <c r="T561" s="413"/>
      <c r="U561" s="302"/>
      <c r="V561" s="302"/>
      <c r="W561" s="302"/>
      <c r="X561" s="302"/>
      <c r="Y561" s="302"/>
      <c r="Z561" s="302"/>
      <c r="AA561" s="302"/>
    </row>
    <row r="562" spans="1:27" ht="16" x14ac:dyDescent="0.2">
      <c r="A562" s="302"/>
      <c r="B562" s="302"/>
      <c r="C562" s="302"/>
      <c r="D562" s="302"/>
      <c r="E562" s="302"/>
      <c r="F562" s="302"/>
      <c r="G562" s="302"/>
      <c r="H562" s="302"/>
      <c r="I562" s="302"/>
      <c r="J562" s="302"/>
      <c r="K562" s="302"/>
      <c r="L562" s="302"/>
      <c r="M562" s="302"/>
      <c r="N562" s="302"/>
      <c r="O562" s="302"/>
      <c r="P562" s="302"/>
      <c r="Q562" s="302"/>
      <c r="R562" s="302"/>
      <c r="S562" s="302"/>
      <c r="T562" s="413"/>
      <c r="U562" s="302"/>
      <c r="V562" s="302"/>
      <c r="W562" s="302"/>
      <c r="X562" s="302"/>
      <c r="Y562" s="302"/>
      <c r="Z562" s="302"/>
      <c r="AA562" s="302"/>
    </row>
    <row r="563" spans="1:27" ht="16" x14ac:dyDescent="0.2">
      <c r="A563" s="302"/>
      <c r="B563" s="302"/>
      <c r="C563" s="302"/>
      <c r="D563" s="302"/>
      <c r="E563" s="302"/>
      <c r="F563" s="302"/>
      <c r="G563" s="302"/>
      <c r="H563" s="302"/>
      <c r="I563" s="302"/>
      <c r="J563" s="302"/>
      <c r="K563" s="302"/>
      <c r="L563" s="302"/>
      <c r="M563" s="302"/>
      <c r="N563" s="302"/>
      <c r="O563" s="302"/>
      <c r="P563" s="302"/>
      <c r="Q563" s="302"/>
      <c r="R563" s="302"/>
      <c r="S563" s="302"/>
      <c r="T563" s="413"/>
      <c r="U563" s="302"/>
      <c r="V563" s="302"/>
      <c r="W563" s="302"/>
      <c r="X563" s="302"/>
      <c r="Y563" s="302"/>
      <c r="Z563" s="302"/>
      <c r="AA563" s="302"/>
    </row>
    <row r="564" spans="1:27" ht="16" x14ac:dyDescent="0.2">
      <c r="A564" s="302"/>
      <c r="B564" s="302"/>
      <c r="C564" s="302"/>
      <c r="D564" s="302"/>
      <c r="E564" s="302"/>
      <c r="F564" s="302"/>
      <c r="G564" s="302"/>
      <c r="H564" s="302"/>
      <c r="I564" s="302"/>
      <c r="J564" s="302"/>
      <c r="K564" s="302"/>
      <c r="L564" s="302"/>
      <c r="M564" s="302"/>
      <c r="N564" s="302"/>
      <c r="O564" s="302"/>
      <c r="P564" s="302"/>
      <c r="Q564" s="302"/>
      <c r="R564" s="302"/>
      <c r="S564" s="302"/>
      <c r="T564" s="413"/>
      <c r="U564" s="302"/>
      <c r="V564" s="302"/>
      <c r="W564" s="302"/>
      <c r="X564" s="302"/>
      <c r="Y564" s="302"/>
      <c r="Z564" s="302"/>
      <c r="AA564" s="302"/>
    </row>
    <row r="565" spans="1:27" ht="16" x14ac:dyDescent="0.2">
      <c r="A565" s="302"/>
      <c r="B565" s="302"/>
      <c r="C565" s="302"/>
      <c r="D565" s="302"/>
      <c r="E565" s="302"/>
      <c r="F565" s="302"/>
      <c r="G565" s="302"/>
      <c r="H565" s="302"/>
      <c r="I565" s="302"/>
      <c r="J565" s="302"/>
      <c r="K565" s="302"/>
      <c r="L565" s="302"/>
      <c r="M565" s="302"/>
      <c r="N565" s="302"/>
      <c r="O565" s="302"/>
      <c r="P565" s="302"/>
      <c r="Q565" s="302"/>
      <c r="R565" s="302"/>
      <c r="S565" s="302"/>
      <c r="T565" s="413"/>
      <c r="U565" s="302"/>
      <c r="V565" s="302"/>
      <c r="W565" s="302"/>
      <c r="X565" s="302"/>
      <c r="Y565" s="302"/>
      <c r="Z565" s="302"/>
      <c r="AA565" s="302"/>
    </row>
    <row r="566" spans="1:27" ht="16" x14ac:dyDescent="0.2">
      <c r="A566" s="302"/>
      <c r="B566" s="302"/>
      <c r="C566" s="302"/>
      <c r="D566" s="302"/>
      <c r="E566" s="302"/>
      <c r="F566" s="302"/>
      <c r="G566" s="302"/>
      <c r="H566" s="302"/>
      <c r="I566" s="302"/>
      <c r="J566" s="302"/>
      <c r="K566" s="302"/>
      <c r="L566" s="302"/>
      <c r="M566" s="302"/>
      <c r="N566" s="302"/>
      <c r="O566" s="302"/>
      <c r="P566" s="302"/>
      <c r="Q566" s="302"/>
      <c r="R566" s="302"/>
      <c r="S566" s="302"/>
      <c r="T566" s="413"/>
      <c r="U566" s="302"/>
      <c r="V566" s="302"/>
      <c r="W566" s="302"/>
      <c r="X566" s="302"/>
      <c r="Y566" s="302"/>
      <c r="Z566" s="302"/>
      <c r="AA566" s="302"/>
    </row>
    <row r="567" spans="1:27" ht="16" x14ac:dyDescent="0.2">
      <c r="A567" s="302"/>
      <c r="B567" s="302"/>
      <c r="C567" s="302"/>
      <c r="D567" s="302"/>
      <c r="E567" s="302"/>
      <c r="F567" s="302"/>
      <c r="G567" s="302"/>
      <c r="H567" s="302"/>
      <c r="I567" s="302"/>
      <c r="J567" s="302"/>
      <c r="K567" s="302"/>
      <c r="L567" s="302"/>
      <c r="M567" s="302"/>
      <c r="N567" s="302"/>
      <c r="O567" s="302"/>
      <c r="P567" s="302"/>
      <c r="Q567" s="302"/>
      <c r="R567" s="302"/>
      <c r="S567" s="302"/>
      <c r="T567" s="413"/>
      <c r="U567" s="302"/>
      <c r="V567" s="302"/>
      <c r="W567" s="302"/>
      <c r="X567" s="302"/>
      <c r="Y567" s="302"/>
      <c r="Z567" s="302"/>
      <c r="AA567" s="302"/>
    </row>
    <row r="568" spans="1:27" ht="16" x14ac:dyDescent="0.2">
      <c r="A568" s="302"/>
      <c r="B568" s="302"/>
      <c r="C568" s="302"/>
      <c r="D568" s="302"/>
      <c r="E568" s="302"/>
      <c r="F568" s="302"/>
      <c r="G568" s="302"/>
      <c r="H568" s="302"/>
      <c r="I568" s="302"/>
      <c r="J568" s="302"/>
      <c r="K568" s="302"/>
      <c r="L568" s="302"/>
      <c r="M568" s="302"/>
      <c r="N568" s="302"/>
      <c r="O568" s="302"/>
      <c r="P568" s="302"/>
      <c r="Q568" s="302"/>
      <c r="R568" s="302"/>
      <c r="S568" s="302"/>
      <c r="T568" s="413"/>
      <c r="U568" s="302"/>
      <c r="V568" s="302"/>
      <c r="W568" s="302"/>
      <c r="X568" s="302"/>
      <c r="Y568" s="302"/>
      <c r="Z568" s="302"/>
      <c r="AA568" s="302"/>
    </row>
    <row r="569" spans="1:27" ht="16" x14ac:dyDescent="0.2">
      <c r="A569" s="302"/>
      <c r="B569" s="302"/>
      <c r="C569" s="302"/>
      <c r="D569" s="302"/>
      <c r="E569" s="302"/>
      <c r="F569" s="302"/>
      <c r="G569" s="302"/>
      <c r="H569" s="302"/>
      <c r="I569" s="302"/>
      <c r="J569" s="302"/>
      <c r="K569" s="302"/>
      <c r="L569" s="302"/>
      <c r="M569" s="302"/>
      <c r="N569" s="302"/>
      <c r="O569" s="302"/>
      <c r="P569" s="302"/>
      <c r="Q569" s="302"/>
      <c r="R569" s="302"/>
      <c r="S569" s="302"/>
      <c r="T569" s="413"/>
      <c r="U569" s="302"/>
      <c r="V569" s="302"/>
      <c r="W569" s="302"/>
      <c r="X569" s="302"/>
      <c r="Y569" s="302"/>
      <c r="Z569" s="302"/>
      <c r="AA569" s="302"/>
    </row>
    <row r="570" spans="1:27" ht="16" x14ac:dyDescent="0.2">
      <c r="A570" s="302"/>
      <c r="B570" s="302"/>
      <c r="C570" s="302"/>
      <c r="D570" s="302"/>
      <c r="E570" s="302"/>
      <c r="F570" s="302"/>
      <c r="G570" s="302"/>
      <c r="H570" s="302"/>
      <c r="I570" s="302"/>
      <c r="J570" s="302"/>
      <c r="K570" s="302"/>
      <c r="L570" s="302"/>
      <c r="M570" s="302"/>
      <c r="N570" s="302"/>
      <c r="O570" s="302"/>
      <c r="P570" s="302"/>
      <c r="Q570" s="302"/>
      <c r="R570" s="302"/>
      <c r="S570" s="302"/>
      <c r="T570" s="413"/>
      <c r="U570" s="302"/>
      <c r="V570" s="302"/>
      <c r="W570" s="302"/>
      <c r="X570" s="302"/>
      <c r="Y570" s="302"/>
      <c r="Z570" s="302"/>
      <c r="AA570" s="302"/>
    </row>
    <row r="571" spans="1:27" ht="16" x14ac:dyDescent="0.2">
      <c r="A571" s="302"/>
      <c r="B571" s="302"/>
      <c r="C571" s="302"/>
      <c r="D571" s="302"/>
      <c r="E571" s="302"/>
      <c r="F571" s="302"/>
      <c r="G571" s="302"/>
      <c r="H571" s="302"/>
      <c r="I571" s="302"/>
      <c r="J571" s="302"/>
      <c r="K571" s="302"/>
      <c r="L571" s="302"/>
      <c r="M571" s="302"/>
      <c r="N571" s="302"/>
      <c r="O571" s="302"/>
      <c r="P571" s="302"/>
      <c r="Q571" s="302"/>
      <c r="R571" s="302"/>
      <c r="S571" s="302"/>
      <c r="T571" s="413"/>
      <c r="U571" s="302"/>
      <c r="V571" s="302"/>
      <c r="W571" s="302"/>
      <c r="X571" s="302"/>
      <c r="Y571" s="302"/>
      <c r="Z571" s="302"/>
      <c r="AA571" s="302"/>
    </row>
    <row r="572" spans="1:27" ht="16" x14ac:dyDescent="0.2">
      <c r="A572" s="302"/>
      <c r="B572" s="302"/>
      <c r="C572" s="302"/>
      <c r="D572" s="302"/>
      <c r="E572" s="302"/>
      <c r="F572" s="302"/>
      <c r="G572" s="302"/>
      <c r="H572" s="302"/>
      <c r="I572" s="302"/>
      <c r="J572" s="302"/>
      <c r="K572" s="302"/>
      <c r="L572" s="302"/>
      <c r="M572" s="302"/>
      <c r="N572" s="302"/>
      <c r="O572" s="302"/>
      <c r="P572" s="302"/>
      <c r="Q572" s="302"/>
      <c r="R572" s="302"/>
      <c r="S572" s="302"/>
      <c r="T572" s="413"/>
      <c r="U572" s="302"/>
      <c r="V572" s="302"/>
      <c r="W572" s="302"/>
      <c r="X572" s="302"/>
      <c r="Y572" s="302"/>
      <c r="Z572" s="302"/>
      <c r="AA572" s="302"/>
    </row>
    <row r="573" spans="1:27" ht="16" x14ac:dyDescent="0.2">
      <c r="A573" s="302"/>
      <c r="B573" s="302"/>
      <c r="C573" s="302"/>
      <c r="D573" s="302"/>
      <c r="E573" s="302"/>
      <c r="F573" s="302"/>
      <c r="G573" s="302"/>
      <c r="H573" s="302"/>
      <c r="I573" s="302"/>
      <c r="J573" s="302"/>
      <c r="K573" s="302"/>
      <c r="L573" s="302"/>
      <c r="M573" s="302"/>
      <c r="N573" s="302"/>
      <c r="O573" s="302"/>
      <c r="P573" s="302"/>
      <c r="Q573" s="302"/>
      <c r="R573" s="302"/>
      <c r="S573" s="302"/>
      <c r="T573" s="413"/>
      <c r="U573" s="302"/>
      <c r="V573" s="302"/>
      <c r="W573" s="302"/>
      <c r="X573" s="302"/>
      <c r="Y573" s="302"/>
      <c r="Z573" s="302"/>
      <c r="AA573" s="302"/>
    </row>
    <row r="574" spans="1:27" ht="16" x14ac:dyDescent="0.2">
      <c r="A574" s="302"/>
      <c r="B574" s="302"/>
      <c r="C574" s="302"/>
      <c r="D574" s="302"/>
      <c r="E574" s="302"/>
      <c r="F574" s="302"/>
      <c r="G574" s="302"/>
      <c r="H574" s="302"/>
      <c r="I574" s="302"/>
      <c r="J574" s="302"/>
      <c r="K574" s="302"/>
      <c r="L574" s="302"/>
      <c r="M574" s="302"/>
      <c r="N574" s="302"/>
      <c r="O574" s="302"/>
      <c r="P574" s="302"/>
      <c r="Q574" s="302"/>
      <c r="R574" s="302"/>
      <c r="S574" s="302"/>
      <c r="T574" s="413"/>
      <c r="U574" s="302"/>
      <c r="V574" s="302"/>
      <c r="W574" s="302"/>
      <c r="X574" s="302"/>
      <c r="Y574" s="302"/>
      <c r="Z574" s="302"/>
      <c r="AA574" s="302"/>
    </row>
    <row r="575" spans="1:27" ht="16" x14ac:dyDescent="0.2">
      <c r="A575" s="302"/>
      <c r="B575" s="302"/>
      <c r="C575" s="302"/>
      <c r="D575" s="302"/>
      <c r="E575" s="302"/>
      <c r="F575" s="302"/>
      <c r="G575" s="302"/>
      <c r="H575" s="302"/>
      <c r="I575" s="302"/>
      <c r="J575" s="302"/>
      <c r="K575" s="302"/>
      <c r="L575" s="302"/>
      <c r="M575" s="302"/>
      <c r="N575" s="302"/>
      <c r="O575" s="302"/>
      <c r="P575" s="302"/>
      <c r="Q575" s="302"/>
      <c r="R575" s="302"/>
      <c r="S575" s="302"/>
      <c r="T575" s="413"/>
      <c r="U575" s="302"/>
      <c r="V575" s="302"/>
      <c r="W575" s="302"/>
      <c r="X575" s="302"/>
      <c r="Y575" s="302"/>
      <c r="Z575" s="302"/>
      <c r="AA575" s="302"/>
    </row>
    <row r="576" spans="1:27" ht="16" x14ac:dyDescent="0.2">
      <c r="A576" s="302"/>
      <c r="B576" s="302"/>
      <c r="C576" s="302"/>
      <c r="D576" s="302"/>
      <c r="E576" s="302"/>
      <c r="F576" s="302"/>
      <c r="G576" s="302"/>
      <c r="H576" s="302"/>
      <c r="I576" s="302"/>
      <c r="J576" s="302"/>
      <c r="K576" s="302"/>
      <c r="L576" s="302"/>
      <c r="M576" s="302"/>
      <c r="N576" s="302"/>
      <c r="O576" s="302"/>
      <c r="P576" s="302"/>
      <c r="Q576" s="302"/>
      <c r="R576" s="302"/>
      <c r="S576" s="302"/>
      <c r="T576" s="413"/>
      <c r="U576" s="302"/>
      <c r="V576" s="302"/>
      <c r="W576" s="302"/>
      <c r="X576" s="302"/>
      <c r="Y576" s="302"/>
      <c r="Z576" s="302"/>
      <c r="AA576" s="302"/>
    </row>
    <row r="577" spans="1:27" ht="16" x14ac:dyDescent="0.2">
      <c r="A577" s="302"/>
      <c r="B577" s="302"/>
      <c r="C577" s="302"/>
      <c r="D577" s="302"/>
      <c r="E577" s="302"/>
      <c r="F577" s="302"/>
      <c r="G577" s="302"/>
      <c r="H577" s="302"/>
      <c r="I577" s="302"/>
      <c r="J577" s="302"/>
      <c r="K577" s="302"/>
      <c r="L577" s="302"/>
      <c r="M577" s="302"/>
      <c r="N577" s="302"/>
      <c r="O577" s="302"/>
      <c r="P577" s="302"/>
      <c r="Q577" s="302"/>
      <c r="R577" s="302"/>
      <c r="S577" s="302"/>
      <c r="T577" s="413"/>
      <c r="U577" s="302"/>
      <c r="V577" s="302"/>
      <c r="W577" s="302"/>
      <c r="X577" s="302"/>
      <c r="Y577" s="302"/>
      <c r="Z577" s="302"/>
      <c r="AA577" s="302"/>
    </row>
    <row r="578" spans="1:27" ht="16" x14ac:dyDescent="0.2">
      <c r="A578" s="302"/>
      <c r="B578" s="302"/>
      <c r="C578" s="302"/>
      <c r="D578" s="302"/>
      <c r="E578" s="302"/>
      <c r="F578" s="302"/>
      <c r="G578" s="302"/>
      <c r="H578" s="302"/>
      <c r="I578" s="302"/>
      <c r="J578" s="302"/>
      <c r="K578" s="302"/>
      <c r="L578" s="302"/>
      <c r="M578" s="302"/>
      <c r="N578" s="302"/>
      <c r="O578" s="302"/>
      <c r="P578" s="302"/>
      <c r="Q578" s="302"/>
      <c r="R578" s="302"/>
      <c r="S578" s="302"/>
      <c r="T578" s="413"/>
      <c r="U578" s="302"/>
      <c r="V578" s="302"/>
      <c r="W578" s="302"/>
      <c r="X578" s="302"/>
      <c r="Y578" s="302"/>
      <c r="Z578" s="302"/>
      <c r="AA578" s="302"/>
    </row>
    <row r="579" spans="1:27" ht="16" x14ac:dyDescent="0.2">
      <c r="A579" s="302"/>
      <c r="B579" s="302"/>
      <c r="C579" s="302"/>
      <c r="D579" s="302"/>
      <c r="E579" s="302"/>
      <c r="F579" s="302"/>
      <c r="G579" s="302"/>
      <c r="H579" s="302"/>
      <c r="I579" s="302"/>
      <c r="J579" s="302"/>
      <c r="K579" s="302"/>
      <c r="L579" s="302"/>
      <c r="M579" s="302"/>
      <c r="N579" s="302"/>
      <c r="O579" s="302"/>
      <c r="P579" s="302"/>
      <c r="Q579" s="302"/>
      <c r="R579" s="302"/>
      <c r="S579" s="302"/>
      <c r="T579" s="413"/>
      <c r="U579" s="302"/>
      <c r="V579" s="302"/>
      <c r="W579" s="302"/>
      <c r="X579" s="302"/>
      <c r="Y579" s="302"/>
      <c r="Z579" s="302"/>
      <c r="AA579" s="302"/>
    </row>
    <row r="580" spans="1:27" ht="16" x14ac:dyDescent="0.2">
      <c r="A580" s="302"/>
      <c r="B580" s="302"/>
      <c r="C580" s="302"/>
      <c r="D580" s="302"/>
      <c r="E580" s="302"/>
      <c r="F580" s="302"/>
      <c r="G580" s="302"/>
      <c r="H580" s="302"/>
      <c r="I580" s="302"/>
      <c r="J580" s="302"/>
      <c r="K580" s="302"/>
      <c r="L580" s="302"/>
      <c r="M580" s="302"/>
      <c r="N580" s="302"/>
      <c r="O580" s="302"/>
      <c r="P580" s="302"/>
      <c r="Q580" s="302"/>
      <c r="R580" s="302"/>
      <c r="S580" s="302"/>
      <c r="T580" s="413"/>
      <c r="U580" s="302"/>
      <c r="V580" s="302"/>
      <c r="W580" s="302"/>
      <c r="X580" s="302"/>
      <c r="Y580" s="302"/>
      <c r="Z580" s="302"/>
      <c r="AA580" s="302"/>
    </row>
    <row r="581" spans="1:27" ht="16" x14ac:dyDescent="0.2">
      <c r="A581" s="302"/>
      <c r="B581" s="302"/>
      <c r="C581" s="302"/>
      <c r="D581" s="302"/>
      <c r="E581" s="302"/>
      <c r="F581" s="302"/>
      <c r="G581" s="302"/>
      <c r="H581" s="302"/>
      <c r="I581" s="302"/>
      <c r="J581" s="302"/>
      <c r="K581" s="302"/>
      <c r="L581" s="302"/>
      <c r="M581" s="302"/>
      <c r="N581" s="302"/>
      <c r="O581" s="302"/>
      <c r="P581" s="302"/>
      <c r="Q581" s="302"/>
      <c r="R581" s="302"/>
      <c r="S581" s="302"/>
      <c r="T581" s="413"/>
      <c r="U581" s="302"/>
      <c r="V581" s="302"/>
      <c r="W581" s="302"/>
      <c r="X581" s="302"/>
      <c r="Y581" s="302"/>
      <c r="Z581" s="302"/>
      <c r="AA581" s="302"/>
    </row>
    <row r="582" spans="1:27" ht="16" x14ac:dyDescent="0.2">
      <c r="A582" s="302"/>
      <c r="B582" s="302"/>
      <c r="C582" s="302"/>
      <c r="D582" s="302"/>
      <c r="E582" s="302"/>
      <c r="F582" s="302"/>
      <c r="G582" s="302"/>
      <c r="H582" s="302"/>
      <c r="I582" s="302"/>
      <c r="J582" s="302"/>
      <c r="K582" s="302"/>
      <c r="L582" s="302"/>
      <c r="M582" s="302"/>
      <c r="N582" s="302"/>
      <c r="O582" s="302"/>
      <c r="P582" s="302"/>
      <c r="Q582" s="302"/>
      <c r="R582" s="302"/>
      <c r="S582" s="302"/>
      <c r="T582" s="413"/>
      <c r="U582" s="302"/>
      <c r="V582" s="302"/>
      <c r="W582" s="302"/>
      <c r="X582" s="302"/>
      <c r="Y582" s="302"/>
      <c r="Z582" s="302"/>
      <c r="AA582" s="302"/>
    </row>
    <row r="583" spans="1:27" ht="16" x14ac:dyDescent="0.2">
      <c r="A583" s="302"/>
      <c r="B583" s="302"/>
      <c r="C583" s="302"/>
      <c r="D583" s="302"/>
      <c r="E583" s="302"/>
      <c r="F583" s="302"/>
      <c r="G583" s="302"/>
      <c r="H583" s="302"/>
      <c r="I583" s="302"/>
      <c r="J583" s="302"/>
      <c r="K583" s="302"/>
      <c r="L583" s="302"/>
      <c r="M583" s="302"/>
      <c r="N583" s="302"/>
      <c r="O583" s="302"/>
      <c r="P583" s="302"/>
      <c r="Q583" s="302"/>
      <c r="R583" s="302"/>
      <c r="S583" s="302"/>
      <c r="T583" s="413"/>
      <c r="U583" s="302"/>
      <c r="V583" s="302"/>
      <c r="W583" s="302"/>
      <c r="X583" s="302"/>
      <c r="Y583" s="302"/>
      <c r="Z583" s="302"/>
      <c r="AA583" s="302"/>
    </row>
    <row r="584" spans="1:27" ht="16" x14ac:dyDescent="0.2">
      <c r="A584" s="302"/>
      <c r="B584" s="302"/>
      <c r="C584" s="302"/>
      <c r="D584" s="302"/>
      <c r="E584" s="302"/>
      <c r="F584" s="302"/>
      <c r="G584" s="302"/>
      <c r="H584" s="302"/>
      <c r="I584" s="302"/>
      <c r="J584" s="302"/>
      <c r="K584" s="302"/>
      <c r="L584" s="302"/>
      <c r="M584" s="302"/>
      <c r="N584" s="302"/>
      <c r="O584" s="302"/>
      <c r="P584" s="302"/>
      <c r="Q584" s="302"/>
      <c r="R584" s="302"/>
      <c r="S584" s="302"/>
      <c r="T584" s="413"/>
      <c r="U584" s="302"/>
      <c r="V584" s="302"/>
      <c r="W584" s="302"/>
      <c r="X584" s="302"/>
      <c r="Y584" s="302"/>
      <c r="Z584" s="302"/>
      <c r="AA584" s="302"/>
    </row>
    <row r="585" spans="1:27" ht="16" x14ac:dyDescent="0.2">
      <c r="A585" s="302"/>
      <c r="B585" s="302"/>
      <c r="C585" s="302"/>
      <c r="D585" s="302"/>
      <c r="E585" s="302"/>
      <c r="F585" s="302"/>
      <c r="G585" s="302"/>
      <c r="H585" s="302"/>
      <c r="I585" s="302"/>
      <c r="J585" s="302"/>
      <c r="K585" s="302"/>
      <c r="L585" s="302"/>
      <c r="M585" s="302"/>
      <c r="N585" s="302"/>
      <c r="O585" s="302"/>
      <c r="P585" s="302"/>
      <c r="Q585" s="302"/>
      <c r="R585" s="302"/>
      <c r="S585" s="302"/>
      <c r="T585" s="413"/>
      <c r="U585" s="302"/>
      <c r="V585" s="302"/>
      <c r="W585" s="302"/>
      <c r="X585" s="302"/>
      <c r="Y585" s="302"/>
      <c r="Z585" s="302"/>
      <c r="AA585" s="302"/>
    </row>
    <row r="586" spans="1:27" ht="16" x14ac:dyDescent="0.2">
      <c r="A586" s="302"/>
      <c r="B586" s="302"/>
      <c r="C586" s="302"/>
      <c r="D586" s="302"/>
      <c r="E586" s="302"/>
      <c r="F586" s="302"/>
      <c r="G586" s="302"/>
      <c r="H586" s="302"/>
      <c r="I586" s="302"/>
      <c r="J586" s="302"/>
      <c r="K586" s="302"/>
      <c r="L586" s="302"/>
      <c r="M586" s="302"/>
      <c r="N586" s="302"/>
      <c r="O586" s="302"/>
      <c r="P586" s="302"/>
      <c r="Q586" s="302"/>
      <c r="R586" s="302"/>
      <c r="S586" s="302"/>
      <c r="T586" s="413"/>
      <c r="U586" s="302"/>
      <c r="V586" s="302"/>
      <c r="W586" s="302"/>
      <c r="X586" s="302"/>
      <c r="Y586" s="302"/>
      <c r="Z586" s="302"/>
      <c r="AA586" s="302"/>
    </row>
    <row r="587" spans="1:27" ht="16" x14ac:dyDescent="0.2">
      <c r="A587" s="302"/>
      <c r="B587" s="302"/>
      <c r="C587" s="302"/>
      <c r="D587" s="302"/>
      <c r="E587" s="302"/>
      <c r="F587" s="302"/>
      <c r="G587" s="302"/>
      <c r="H587" s="302"/>
      <c r="I587" s="302"/>
      <c r="J587" s="302"/>
      <c r="K587" s="302"/>
      <c r="L587" s="302"/>
      <c r="M587" s="302"/>
      <c r="N587" s="302"/>
      <c r="O587" s="302"/>
      <c r="P587" s="302"/>
      <c r="Q587" s="302"/>
      <c r="R587" s="302"/>
      <c r="S587" s="302"/>
      <c r="T587" s="413"/>
      <c r="U587" s="302"/>
      <c r="V587" s="302"/>
      <c r="W587" s="302"/>
      <c r="X587" s="302"/>
      <c r="Y587" s="302"/>
      <c r="Z587" s="302"/>
      <c r="AA587" s="302"/>
    </row>
    <row r="588" spans="1:27" ht="16" x14ac:dyDescent="0.2">
      <c r="A588" s="302"/>
      <c r="B588" s="302"/>
      <c r="C588" s="302"/>
      <c r="D588" s="302"/>
      <c r="E588" s="302"/>
      <c r="F588" s="302"/>
      <c r="G588" s="302"/>
      <c r="H588" s="302"/>
      <c r="I588" s="302"/>
      <c r="J588" s="302"/>
      <c r="K588" s="302"/>
      <c r="L588" s="302"/>
      <c r="M588" s="302"/>
      <c r="N588" s="302"/>
      <c r="O588" s="302"/>
      <c r="P588" s="302"/>
      <c r="Q588" s="302"/>
      <c r="R588" s="302"/>
      <c r="S588" s="302"/>
      <c r="T588" s="413"/>
      <c r="U588" s="302"/>
      <c r="V588" s="302"/>
      <c r="W588" s="302"/>
      <c r="X588" s="302"/>
      <c r="Y588" s="302"/>
      <c r="Z588" s="302"/>
      <c r="AA588" s="302"/>
    </row>
    <row r="589" spans="1:27" ht="16" x14ac:dyDescent="0.2">
      <c r="A589" s="302"/>
      <c r="B589" s="302"/>
      <c r="C589" s="302"/>
      <c r="D589" s="302"/>
      <c r="E589" s="302"/>
      <c r="F589" s="302"/>
      <c r="G589" s="302"/>
      <c r="H589" s="302"/>
      <c r="I589" s="302"/>
      <c r="J589" s="302"/>
      <c r="K589" s="302"/>
      <c r="L589" s="302"/>
      <c r="M589" s="302"/>
      <c r="N589" s="302"/>
      <c r="O589" s="302"/>
      <c r="P589" s="302"/>
      <c r="Q589" s="302"/>
      <c r="R589" s="302"/>
      <c r="S589" s="302"/>
      <c r="T589" s="413"/>
      <c r="U589" s="302"/>
      <c r="V589" s="302"/>
      <c r="W589" s="302"/>
      <c r="X589" s="302"/>
      <c r="Y589" s="302"/>
      <c r="Z589" s="302"/>
      <c r="AA589" s="302"/>
    </row>
    <row r="590" spans="1:27" ht="16" x14ac:dyDescent="0.2">
      <c r="A590" s="302"/>
      <c r="B590" s="302"/>
      <c r="C590" s="302"/>
      <c r="D590" s="302"/>
      <c r="E590" s="302"/>
      <c r="F590" s="302"/>
      <c r="G590" s="302"/>
      <c r="H590" s="302"/>
      <c r="I590" s="302"/>
      <c r="J590" s="302"/>
      <c r="K590" s="302"/>
      <c r="L590" s="302"/>
      <c r="M590" s="302"/>
      <c r="N590" s="302"/>
      <c r="O590" s="302"/>
      <c r="P590" s="302"/>
      <c r="Q590" s="302"/>
      <c r="R590" s="302"/>
      <c r="S590" s="302"/>
      <c r="T590" s="413"/>
      <c r="U590" s="302"/>
      <c r="V590" s="302"/>
      <c r="W590" s="302"/>
      <c r="X590" s="302"/>
      <c r="Y590" s="302"/>
      <c r="Z590" s="302"/>
      <c r="AA590" s="302"/>
    </row>
    <row r="591" spans="1:27" ht="16" x14ac:dyDescent="0.2">
      <c r="A591" s="302"/>
      <c r="B591" s="302"/>
      <c r="C591" s="302"/>
      <c r="D591" s="302"/>
      <c r="E591" s="302"/>
      <c r="F591" s="302"/>
      <c r="G591" s="302"/>
      <c r="H591" s="302"/>
      <c r="I591" s="302"/>
      <c r="J591" s="302"/>
      <c r="K591" s="302"/>
      <c r="L591" s="302"/>
      <c r="M591" s="302"/>
      <c r="N591" s="302"/>
      <c r="O591" s="302"/>
      <c r="P591" s="302"/>
      <c r="Q591" s="302"/>
      <c r="R591" s="302"/>
      <c r="S591" s="302"/>
      <c r="T591" s="413"/>
      <c r="U591" s="302"/>
      <c r="V591" s="302"/>
      <c r="W591" s="302"/>
      <c r="X591" s="302"/>
      <c r="Y591" s="302"/>
      <c r="Z591" s="302"/>
      <c r="AA591" s="302"/>
    </row>
    <row r="592" spans="1:27" ht="16" x14ac:dyDescent="0.2">
      <c r="A592" s="302"/>
      <c r="B592" s="302"/>
      <c r="C592" s="302"/>
      <c r="D592" s="302"/>
      <c r="E592" s="302"/>
      <c r="F592" s="302"/>
      <c r="G592" s="302"/>
      <c r="H592" s="302"/>
      <c r="I592" s="302"/>
      <c r="J592" s="302"/>
      <c r="K592" s="302"/>
      <c r="L592" s="302"/>
      <c r="M592" s="302"/>
      <c r="N592" s="302"/>
      <c r="O592" s="302"/>
      <c r="P592" s="302"/>
      <c r="Q592" s="302"/>
      <c r="R592" s="302"/>
      <c r="S592" s="302"/>
      <c r="T592" s="413"/>
      <c r="U592" s="302"/>
      <c r="V592" s="302"/>
      <c r="W592" s="302"/>
      <c r="X592" s="302"/>
      <c r="Y592" s="302"/>
      <c r="Z592" s="302"/>
      <c r="AA592" s="302"/>
    </row>
    <row r="593" spans="1:27" ht="16" x14ac:dyDescent="0.2">
      <c r="A593" s="302"/>
      <c r="B593" s="302"/>
      <c r="C593" s="302"/>
      <c r="D593" s="302"/>
      <c r="E593" s="302"/>
      <c r="F593" s="302"/>
      <c r="G593" s="302"/>
      <c r="H593" s="302"/>
      <c r="I593" s="302"/>
      <c r="J593" s="302"/>
      <c r="K593" s="302"/>
      <c r="L593" s="302"/>
      <c r="M593" s="302"/>
      <c r="N593" s="302"/>
      <c r="O593" s="302"/>
      <c r="P593" s="302"/>
      <c r="Q593" s="302"/>
      <c r="R593" s="302"/>
      <c r="S593" s="302"/>
      <c r="T593" s="413"/>
      <c r="U593" s="302"/>
      <c r="V593" s="302"/>
      <c r="W593" s="302"/>
      <c r="X593" s="302"/>
      <c r="Y593" s="302"/>
      <c r="Z593" s="302"/>
      <c r="AA593" s="302"/>
    </row>
    <row r="594" spans="1:27" ht="16" x14ac:dyDescent="0.2">
      <c r="A594" s="302"/>
      <c r="B594" s="302"/>
      <c r="C594" s="302"/>
      <c r="D594" s="302"/>
      <c r="E594" s="302"/>
      <c r="F594" s="302"/>
      <c r="G594" s="302"/>
      <c r="H594" s="302"/>
      <c r="I594" s="302"/>
      <c r="J594" s="302"/>
      <c r="K594" s="302"/>
      <c r="L594" s="302"/>
      <c r="M594" s="302"/>
      <c r="N594" s="302"/>
      <c r="O594" s="302"/>
      <c r="P594" s="302"/>
      <c r="Q594" s="302"/>
      <c r="R594" s="302"/>
      <c r="S594" s="302"/>
      <c r="T594" s="413"/>
      <c r="U594" s="302"/>
      <c r="V594" s="302"/>
      <c r="W594" s="302"/>
      <c r="X594" s="302"/>
      <c r="Y594" s="302"/>
      <c r="Z594" s="302"/>
      <c r="AA594" s="302"/>
    </row>
    <row r="595" spans="1:27" ht="16" x14ac:dyDescent="0.2">
      <c r="A595" s="302"/>
      <c r="B595" s="302"/>
      <c r="C595" s="302"/>
      <c r="D595" s="302"/>
      <c r="E595" s="302"/>
      <c r="F595" s="302"/>
      <c r="G595" s="302"/>
      <c r="H595" s="302"/>
      <c r="I595" s="302"/>
      <c r="J595" s="302"/>
      <c r="K595" s="302"/>
      <c r="L595" s="302"/>
      <c r="M595" s="302"/>
      <c r="N595" s="302"/>
      <c r="O595" s="302"/>
      <c r="P595" s="302"/>
      <c r="Q595" s="302"/>
      <c r="R595" s="302"/>
      <c r="S595" s="302"/>
      <c r="T595" s="413"/>
      <c r="U595" s="302"/>
      <c r="V595" s="302"/>
      <c r="W595" s="302"/>
      <c r="X595" s="302"/>
      <c r="Y595" s="302"/>
      <c r="Z595" s="302"/>
      <c r="AA595" s="302"/>
    </row>
    <row r="596" spans="1:27" ht="16" x14ac:dyDescent="0.2">
      <c r="A596" s="302"/>
      <c r="B596" s="302"/>
      <c r="C596" s="302"/>
      <c r="D596" s="302"/>
      <c r="E596" s="302"/>
      <c r="F596" s="302"/>
      <c r="G596" s="302"/>
      <c r="H596" s="302"/>
      <c r="I596" s="302"/>
      <c r="J596" s="302"/>
      <c r="K596" s="302"/>
      <c r="L596" s="302"/>
      <c r="M596" s="302"/>
      <c r="N596" s="302"/>
      <c r="O596" s="302"/>
      <c r="P596" s="302"/>
      <c r="Q596" s="302"/>
      <c r="R596" s="302"/>
      <c r="S596" s="302"/>
      <c r="T596" s="413"/>
      <c r="U596" s="302"/>
      <c r="V596" s="302"/>
      <c r="W596" s="302"/>
      <c r="X596" s="302"/>
      <c r="Y596" s="302"/>
      <c r="Z596" s="302"/>
      <c r="AA596" s="302"/>
    </row>
    <row r="597" spans="1:27" ht="16" x14ac:dyDescent="0.2">
      <c r="A597" s="302"/>
      <c r="B597" s="302"/>
      <c r="C597" s="302"/>
      <c r="D597" s="302"/>
      <c r="E597" s="302"/>
      <c r="F597" s="302"/>
      <c r="G597" s="302"/>
      <c r="H597" s="302"/>
      <c r="I597" s="302"/>
      <c r="J597" s="302"/>
      <c r="K597" s="302"/>
      <c r="L597" s="302"/>
      <c r="M597" s="302"/>
      <c r="N597" s="302"/>
      <c r="O597" s="302"/>
      <c r="P597" s="302"/>
      <c r="Q597" s="302"/>
      <c r="R597" s="302"/>
      <c r="S597" s="302"/>
      <c r="T597" s="413"/>
      <c r="U597" s="302"/>
      <c r="V597" s="302"/>
      <c r="W597" s="302"/>
      <c r="X597" s="302"/>
      <c r="Y597" s="302"/>
      <c r="Z597" s="302"/>
      <c r="AA597" s="302"/>
    </row>
    <row r="598" spans="1:27" ht="16" x14ac:dyDescent="0.2">
      <c r="A598" s="302"/>
      <c r="B598" s="302"/>
      <c r="C598" s="302"/>
      <c r="D598" s="302"/>
      <c r="E598" s="302"/>
      <c r="F598" s="302"/>
      <c r="G598" s="302"/>
      <c r="H598" s="302"/>
      <c r="I598" s="302"/>
      <c r="J598" s="302"/>
      <c r="K598" s="302"/>
      <c r="L598" s="302"/>
      <c r="M598" s="302"/>
      <c r="N598" s="302"/>
      <c r="O598" s="302"/>
      <c r="P598" s="302"/>
      <c r="Q598" s="302"/>
      <c r="R598" s="302"/>
      <c r="S598" s="302"/>
      <c r="T598" s="413"/>
      <c r="U598" s="302"/>
      <c r="V598" s="302"/>
      <c r="W598" s="302"/>
      <c r="X598" s="302"/>
      <c r="Y598" s="302"/>
      <c r="Z598" s="302"/>
      <c r="AA598" s="302"/>
    </row>
    <row r="599" spans="1:27" ht="16" x14ac:dyDescent="0.2">
      <c r="A599" s="302"/>
      <c r="B599" s="302"/>
      <c r="C599" s="302"/>
      <c r="D599" s="302"/>
      <c r="E599" s="302"/>
      <c r="F599" s="302"/>
      <c r="G599" s="302"/>
      <c r="H599" s="302"/>
      <c r="I599" s="302"/>
      <c r="J599" s="302"/>
      <c r="K599" s="302"/>
      <c r="L599" s="302"/>
      <c r="M599" s="302"/>
      <c r="N599" s="302"/>
      <c r="O599" s="302"/>
      <c r="P599" s="302"/>
      <c r="Q599" s="302"/>
      <c r="R599" s="302"/>
      <c r="S599" s="302"/>
      <c r="T599" s="413"/>
      <c r="U599" s="302"/>
      <c r="V599" s="302"/>
      <c r="W599" s="302"/>
      <c r="X599" s="302"/>
      <c r="Y599" s="302"/>
      <c r="Z599" s="302"/>
      <c r="AA599" s="302"/>
    </row>
    <row r="600" spans="1:27" ht="16" x14ac:dyDescent="0.2">
      <c r="A600" s="302"/>
      <c r="B600" s="302"/>
      <c r="C600" s="302"/>
      <c r="D600" s="302"/>
      <c r="E600" s="302"/>
      <c r="F600" s="302"/>
      <c r="G600" s="302"/>
      <c r="H600" s="302"/>
      <c r="I600" s="302"/>
      <c r="J600" s="302"/>
      <c r="K600" s="302"/>
      <c r="L600" s="302"/>
      <c r="M600" s="302"/>
      <c r="N600" s="302"/>
      <c r="O600" s="302"/>
      <c r="P600" s="302"/>
      <c r="Q600" s="302"/>
      <c r="R600" s="302"/>
      <c r="S600" s="302"/>
      <c r="T600" s="413"/>
      <c r="U600" s="302"/>
      <c r="V600" s="302"/>
      <c r="W600" s="302"/>
      <c r="X600" s="302"/>
      <c r="Y600" s="302"/>
      <c r="Z600" s="302"/>
      <c r="AA600" s="302"/>
    </row>
    <row r="601" spans="1:27" ht="16" x14ac:dyDescent="0.2">
      <c r="A601" s="302"/>
      <c r="B601" s="302"/>
      <c r="C601" s="302"/>
      <c r="D601" s="302"/>
      <c r="E601" s="302"/>
      <c r="F601" s="302"/>
      <c r="G601" s="302"/>
      <c r="H601" s="302"/>
      <c r="I601" s="302"/>
      <c r="J601" s="302"/>
      <c r="K601" s="302"/>
      <c r="L601" s="302"/>
      <c r="M601" s="302"/>
      <c r="N601" s="302"/>
      <c r="O601" s="302"/>
      <c r="P601" s="302"/>
      <c r="Q601" s="302"/>
      <c r="R601" s="302"/>
      <c r="S601" s="302"/>
      <c r="T601" s="413"/>
      <c r="U601" s="302"/>
      <c r="V601" s="302"/>
      <c r="W601" s="302"/>
      <c r="X601" s="302"/>
      <c r="Y601" s="302"/>
      <c r="Z601" s="302"/>
      <c r="AA601" s="302"/>
    </row>
    <row r="602" spans="1:27" ht="16" x14ac:dyDescent="0.2">
      <c r="A602" s="302"/>
      <c r="B602" s="302"/>
      <c r="C602" s="302"/>
      <c r="D602" s="302"/>
      <c r="E602" s="302"/>
      <c r="F602" s="302"/>
      <c r="G602" s="302"/>
      <c r="H602" s="302"/>
      <c r="I602" s="302"/>
      <c r="J602" s="302"/>
      <c r="K602" s="302"/>
      <c r="L602" s="302"/>
      <c r="M602" s="302"/>
      <c r="N602" s="302"/>
      <c r="O602" s="302"/>
      <c r="P602" s="302"/>
      <c r="Q602" s="302"/>
      <c r="R602" s="302"/>
      <c r="S602" s="302"/>
      <c r="T602" s="413"/>
      <c r="U602" s="302"/>
      <c r="V602" s="302"/>
      <c r="W602" s="302"/>
      <c r="X602" s="302"/>
      <c r="Y602" s="302"/>
      <c r="Z602" s="302"/>
      <c r="AA602" s="302"/>
    </row>
    <row r="603" spans="1:27" ht="16" x14ac:dyDescent="0.2">
      <c r="A603" s="302"/>
      <c r="B603" s="302"/>
      <c r="C603" s="302"/>
      <c r="D603" s="302"/>
      <c r="E603" s="302"/>
      <c r="F603" s="302"/>
      <c r="G603" s="302"/>
      <c r="H603" s="302"/>
      <c r="I603" s="302"/>
      <c r="J603" s="302"/>
      <c r="K603" s="302"/>
      <c r="L603" s="302"/>
      <c r="M603" s="302"/>
      <c r="N603" s="302"/>
      <c r="O603" s="302"/>
      <c r="P603" s="302"/>
      <c r="Q603" s="302"/>
      <c r="R603" s="302"/>
      <c r="S603" s="302"/>
      <c r="T603" s="413"/>
      <c r="U603" s="302"/>
      <c r="V603" s="302"/>
      <c r="W603" s="302"/>
      <c r="X603" s="302"/>
      <c r="Y603" s="302"/>
      <c r="Z603" s="302"/>
      <c r="AA603" s="302"/>
    </row>
    <row r="604" spans="1:27" ht="16" x14ac:dyDescent="0.2">
      <c r="A604" s="302"/>
      <c r="B604" s="302"/>
      <c r="C604" s="302"/>
      <c r="D604" s="302"/>
      <c r="E604" s="302"/>
      <c r="F604" s="302"/>
      <c r="G604" s="302"/>
      <c r="H604" s="302"/>
      <c r="I604" s="302"/>
      <c r="J604" s="302"/>
      <c r="K604" s="302"/>
      <c r="L604" s="302"/>
      <c r="M604" s="302"/>
      <c r="N604" s="302"/>
      <c r="O604" s="302"/>
      <c r="P604" s="302"/>
      <c r="Q604" s="302"/>
      <c r="R604" s="302"/>
      <c r="S604" s="302"/>
      <c r="T604" s="413"/>
      <c r="U604" s="302"/>
      <c r="V604" s="302"/>
      <c r="W604" s="302"/>
      <c r="X604" s="302"/>
      <c r="Y604" s="302"/>
      <c r="Z604" s="302"/>
      <c r="AA604" s="302"/>
    </row>
    <row r="605" spans="1:27" ht="16" x14ac:dyDescent="0.2">
      <c r="A605" s="302"/>
      <c r="B605" s="302"/>
      <c r="C605" s="302"/>
      <c r="D605" s="302"/>
      <c r="E605" s="302"/>
      <c r="F605" s="302"/>
      <c r="G605" s="302"/>
      <c r="H605" s="302"/>
      <c r="I605" s="302"/>
      <c r="J605" s="302"/>
      <c r="K605" s="302"/>
      <c r="L605" s="302"/>
      <c r="M605" s="302"/>
      <c r="N605" s="302"/>
      <c r="O605" s="302"/>
      <c r="P605" s="302"/>
      <c r="Q605" s="302"/>
      <c r="R605" s="302"/>
      <c r="S605" s="302"/>
      <c r="T605" s="413"/>
      <c r="U605" s="302"/>
      <c r="V605" s="302"/>
      <c r="W605" s="302"/>
      <c r="X605" s="302"/>
      <c r="Y605" s="302"/>
      <c r="Z605" s="302"/>
      <c r="AA605" s="302"/>
    </row>
    <row r="606" spans="1:27" ht="16" x14ac:dyDescent="0.2">
      <c r="A606" s="302"/>
      <c r="B606" s="302"/>
      <c r="C606" s="302"/>
      <c r="D606" s="302"/>
      <c r="E606" s="302"/>
      <c r="F606" s="302"/>
      <c r="G606" s="302"/>
      <c r="H606" s="302"/>
      <c r="I606" s="302"/>
      <c r="J606" s="302"/>
      <c r="K606" s="302"/>
      <c r="L606" s="302"/>
      <c r="M606" s="302"/>
      <c r="N606" s="302"/>
      <c r="O606" s="302"/>
      <c r="P606" s="302"/>
      <c r="Q606" s="302"/>
      <c r="R606" s="302"/>
      <c r="S606" s="302"/>
      <c r="T606" s="413"/>
      <c r="U606" s="302"/>
      <c r="V606" s="302"/>
      <c r="W606" s="302"/>
      <c r="X606" s="302"/>
      <c r="Y606" s="302"/>
      <c r="Z606" s="302"/>
      <c r="AA606" s="302"/>
    </row>
    <row r="607" spans="1:27" ht="16" x14ac:dyDescent="0.2">
      <c r="A607" s="302"/>
      <c r="B607" s="302"/>
      <c r="C607" s="302"/>
      <c r="D607" s="302"/>
      <c r="E607" s="302"/>
      <c r="F607" s="302"/>
      <c r="G607" s="302"/>
      <c r="H607" s="302"/>
      <c r="I607" s="302"/>
      <c r="J607" s="302"/>
      <c r="K607" s="302"/>
      <c r="L607" s="302"/>
      <c r="M607" s="302"/>
      <c r="N607" s="302"/>
      <c r="O607" s="302"/>
      <c r="P607" s="302"/>
      <c r="Q607" s="302"/>
      <c r="R607" s="302"/>
      <c r="S607" s="302"/>
      <c r="T607" s="413"/>
      <c r="U607" s="302"/>
      <c r="V607" s="302"/>
      <c r="W607" s="302"/>
      <c r="X607" s="302"/>
      <c r="Y607" s="302"/>
      <c r="Z607" s="302"/>
      <c r="AA607" s="302"/>
    </row>
    <row r="608" spans="1:27" ht="16" x14ac:dyDescent="0.2">
      <c r="A608" s="302"/>
      <c r="B608" s="302"/>
      <c r="C608" s="302"/>
      <c r="D608" s="302"/>
      <c r="E608" s="302"/>
      <c r="F608" s="302"/>
      <c r="G608" s="302"/>
      <c r="H608" s="302"/>
      <c r="I608" s="302"/>
      <c r="J608" s="302"/>
      <c r="K608" s="302"/>
      <c r="L608" s="302"/>
      <c r="M608" s="302"/>
      <c r="N608" s="302"/>
      <c r="O608" s="302"/>
      <c r="P608" s="302"/>
      <c r="Q608" s="302"/>
      <c r="R608" s="302"/>
      <c r="S608" s="302"/>
      <c r="T608" s="413"/>
      <c r="U608" s="302"/>
      <c r="V608" s="302"/>
      <c r="W608" s="302"/>
      <c r="X608" s="302"/>
      <c r="Y608" s="302"/>
      <c r="Z608" s="302"/>
      <c r="AA608" s="302"/>
    </row>
    <row r="609" spans="1:27" ht="16" x14ac:dyDescent="0.2">
      <c r="A609" s="302"/>
      <c r="B609" s="302"/>
      <c r="C609" s="302"/>
      <c r="D609" s="302"/>
      <c r="E609" s="302"/>
      <c r="F609" s="302"/>
      <c r="G609" s="302"/>
      <c r="H609" s="302"/>
      <c r="I609" s="302"/>
      <c r="J609" s="302"/>
      <c r="K609" s="302"/>
      <c r="L609" s="302"/>
      <c r="M609" s="302"/>
      <c r="N609" s="302"/>
      <c r="O609" s="302"/>
      <c r="P609" s="302"/>
      <c r="Q609" s="302"/>
      <c r="R609" s="302"/>
      <c r="S609" s="302"/>
      <c r="T609" s="413"/>
      <c r="U609" s="302"/>
      <c r="V609" s="302"/>
      <c r="W609" s="302"/>
      <c r="X609" s="302"/>
      <c r="Y609" s="302"/>
      <c r="Z609" s="302"/>
      <c r="AA609" s="302"/>
    </row>
    <row r="610" spans="1:27" ht="16" x14ac:dyDescent="0.2">
      <c r="A610" s="302"/>
      <c r="B610" s="302"/>
      <c r="C610" s="302"/>
      <c r="D610" s="302"/>
      <c r="E610" s="302"/>
      <c r="F610" s="302"/>
      <c r="G610" s="302"/>
      <c r="H610" s="302"/>
      <c r="I610" s="302"/>
      <c r="J610" s="302"/>
      <c r="K610" s="302"/>
      <c r="L610" s="302"/>
      <c r="M610" s="302"/>
      <c r="N610" s="302"/>
      <c r="O610" s="302"/>
      <c r="P610" s="302"/>
      <c r="Q610" s="302"/>
      <c r="R610" s="302"/>
      <c r="S610" s="302"/>
      <c r="T610" s="413"/>
      <c r="U610" s="302"/>
      <c r="V610" s="302"/>
      <c r="W610" s="302"/>
      <c r="X610" s="302"/>
      <c r="Y610" s="302"/>
      <c r="Z610" s="302"/>
      <c r="AA610" s="302"/>
    </row>
    <row r="611" spans="1:27" ht="16" x14ac:dyDescent="0.2">
      <c r="A611" s="302"/>
      <c r="B611" s="302"/>
      <c r="C611" s="302"/>
      <c r="D611" s="302"/>
      <c r="E611" s="302"/>
      <c r="F611" s="302"/>
      <c r="G611" s="302"/>
      <c r="H611" s="302"/>
      <c r="I611" s="302"/>
      <c r="J611" s="302"/>
      <c r="K611" s="302"/>
      <c r="L611" s="302"/>
      <c r="M611" s="302"/>
      <c r="N611" s="302"/>
      <c r="O611" s="302"/>
      <c r="P611" s="302"/>
      <c r="Q611" s="302"/>
      <c r="R611" s="302"/>
      <c r="S611" s="302"/>
      <c r="T611" s="413"/>
      <c r="U611" s="302"/>
      <c r="V611" s="302"/>
      <c r="W611" s="302"/>
      <c r="X611" s="302"/>
      <c r="Y611" s="302"/>
      <c r="Z611" s="302"/>
      <c r="AA611" s="302"/>
    </row>
    <row r="612" spans="1:27" ht="16" x14ac:dyDescent="0.2">
      <c r="A612" s="302"/>
      <c r="B612" s="302"/>
      <c r="C612" s="302"/>
      <c r="D612" s="302"/>
      <c r="E612" s="302"/>
      <c r="F612" s="302"/>
      <c r="G612" s="302"/>
      <c r="H612" s="302"/>
      <c r="I612" s="302"/>
      <c r="J612" s="302"/>
      <c r="K612" s="302"/>
      <c r="L612" s="302"/>
      <c r="M612" s="302"/>
      <c r="N612" s="302"/>
      <c r="O612" s="302"/>
      <c r="P612" s="302"/>
      <c r="Q612" s="302"/>
      <c r="R612" s="302"/>
      <c r="S612" s="302"/>
      <c r="T612" s="413"/>
      <c r="U612" s="302"/>
      <c r="V612" s="302"/>
      <c r="W612" s="302"/>
      <c r="X612" s="302"/>
      <c r="Y612" s="302"/>
      <c r="Z612" s="302"/>
      <c r="AA612" s="302"/>
    </row>
    <row r="613" spans="1:27" ht="16" x14ac:dyDescent="0.2">
      <c r="A613" s="302"/>
      <c r="B613" s="302"/>
      <c r="C613" s="302"/>
      <c r="D613" s="302"/>
      <c r="E613" s="302"/>
      <c r="F613" s="302"/>
      <c r="G613" s="302"/>
      <c r="H613" s="302"/>
      <c r="I613" s="302"/>
      <c r="J613" s="302"/>
      <c r="K613" s="302"/>
      <c r="L613" s="302"/>
      <c r="M613" s="302"/>
      <c r="N613" s="302"/>
      <c r="O613" s="302"/>
      <c r="P613" s="302"/>
      <c r="Q613" s="302"/>
      <c r="R613" s="302"/>
      <c r="S613" s="302"/>
      <c r="T613" s="413"/>
      <c r="U613" s="302"/>
      <c r="V613" s="302"/>
      <c r="W613" s="302"/>
      <c r="X613" s="302"/>
      <c r="Y613" s="302"/>
      <c r="Z613" s="302"/>
      <c r="AA613" s="302"/>
    </row>
    <row r="614" spans="1:27" ht="16" x14ac:dyDescent="0.2">
      <c r="A614" s="302"/>
      <c r="B614" s="302"/>
      <c r="C614" s="302"/>
      <c r="D614" s="302"/>
      <c r="E614" s="302"/>
      <c r="F614" s="302"/>
      <c r="G614" s="302"/>
      <c r="H614" s="302"/>
      <c r="I614" s="302"/>
      <c r="J614" s="302"/>
      <c r="K614" s="302"/>
      <c r="L614" s="302"/>
      <c r="M614" s="302"/>
      <c r="N614" s="302"/>
      <c r="O614" s="302"/>
      <c r="P614" s="302"/>
      <c r="Q614" s="302"/>
      <c r="R614" s="302"/>
      <c r="S614" s="302"/>
      <c r="T614" s="413"/>
      <c r="U614" s="302"/>
      <c r="V614" s="302"/>
      <c r="W614" s="302"/>
      <c r="X614" s="302"/>
      <c r="Y614" s="302"/>
      <c r="Z614" s="302"/>
      <c r="AA614" s="302"/>
    </row>
    <row r="615" spans="1:27" ht="16" x14ac:dyDescent="0.2">
      <c r="A615" s="302"/>
      <c r="B615" s="302"/>
      <c r="C615" s="302"/>
      <c r="D615" s="302"/>
      <c r="E615" s="302"/>
      <c r="F615" s="302"/>
      <c r="G615" s="302"/>
      <c r="H615" s="302"/>
      <c r="I615" s="302"/>
      <c r="J615" s="302"/>
      <c r="K615" s="302"/>
      <c r="L615" s="302"/>
      <c r="M615" s="302"/>
      <c r="N615" s="302"/>
      <c r="O615" s="302"/>
      <c r="P615" s="302"/>
      <c r="Q615" s="302"/>
      <c r="R615" s="302"/>
      <c r="S615" s="302"/>
      <c r="T615" s="413"/>
      <c r="U615" s="302"/>
      <c r="V615" s="302"/>
      <c r="W615" s="302"/>
      <c r="X615" s="302"/>
      <c r="Y615" s="302"/>
      <c r="Z615" s="302"/>
      <c r="AA615" s="302"/>
    </row>
    <row r="616" spans="1:27" ht="16" x14ac:dyDescent="0.2">
      <c r="A616" s="302"/>
      <c r="B616" s="302"/>
      <c r="C616" s="302"/>
      <c r="D616" s="302"/>
      <c r="E616" s="302"/>
      <c r="F616" s="302"/>
      <c r="G616" s="302"/>
      <c r="H616" s="302"/>
      <c r="I616" s="302"/>
      <c r="J616" s="302"/>
      <c r="K616" s="302"/>
      <c r="L616" s="302"/>
      <c r="M616" s="302"/>
      <c r="N616" s="302"/>
      <c r="O616" s="302"/>
      <c r="P616" s="302"/>
      <c r="Q616" s="302"/>
      <c r="R616" s="302"/>
      <c r="S616" s="302"/>
      <c r="T616" s="413"/>
      <c r="U616" s="302"/>
      <c r="V616" s="302"/>
      <c r="W616" s="302"/>
      <c r="X616" s="302"/>
      <c r="Y616" s="302"/>
      <c r="Z616" s="302"/>
      <c r="AA616" s="302"/>
    </row>
    <row r="617" spans="1:27" ht="16" x14ac:dyDescent="0.2">
      <c r="A617" s="302"/>
      <c r="B617" s="302"/>
      <c r="C617" s="302"/>
      <c r="D617" s="302"/>
      <c r="E617" s="302"/>
      <c r="F617" s="302"/>
      <c r="G617" s="302"/>
      <c r="H617" s="302"/>
      <c r="I617" s="302"/>
      <c r="J617" s="302"/>
      <c r="K617" s="302"/>
      <c r="L617" s="302"/>
      <c r="M617" s="302"/>
      <c r="N617" s="302"/>
      <c r="O617" s="302"/>
      <c r="P617" s="302"/>
      <c r="Q617" s="302"/>
      <c r="R617" s="302"/>
      <c r="S617" s="302"/>
      <c r="T617" s="413"/>
      <c r="U617" s="302"/>
      <c r="V617" s="302"/>
      <c r="W617" s="302"/>
      <c r="X617" s="302"/>
      <c r="Y617" s="302"/>
      <c r="Z617" s="302"/>
      <c r="AA617" s="302"/>
    </row>
    <row r="618" spans="1:27" ht="16" x14ac:dyDescent="0.2">
      <c r="A618" s="302"/>
      <c r="B618" s="302"/>
      <c r="C618" s="302"/>
      <c r="D618" s="302"/>
      <c r="E618" s="302"/>
      <c r="F618" s="302"/>
      <c r="G618" s="302"/>
      <c r="H618" s="302"/>
      <c r="I618" s="302"/>
      <c r="J618" s="302"/>
      <c r="K618" s="302"/>
      <c r="L618" s="302"/>
      <c r="M618" s="302"/>
      <c r="N618" s="302"/>
      <c r="O618" s="302"/>
      <c r="P618" s="302"/>
      <c r="Q618" s="302"/>
      <c r="R618" s="302"/>
      <c r="S618" s="302"/>
      <c r="T618" s="413"/>
      <c r="U618" s="302"/>
      <c r="V618" s="302"/>
      <c r="W618" s="302"/>
      <c r="X618" s="302"/>
      <c r="Y618" s="302"/>
      <c r="Z618" s="302"/>
      <c r="AA618" s="302"/>
    </row>
    <row r="619" spans="1:27" ht="16" x14ac:dyDescent="0.2">
      <c r="A619" s="302"/>
      <c r="B619" s="302"/>
      <c r="C619" s="302"/>
      <c r="D619" s="302"/>
      <c r="E619" s="302"/>
      <c r="F619" s="302"/>
      <c r="G619" s="302"/>
      <c r="H619" s="302"/>
      <c r="I619" s="302"/>
      <c r="J619" s="302"/>
      <c r="K619" s="302"/>
      <c r="L619" s="302"/>
      <c r="M619" s="302"/>
      <c r="N619" s="302"/>
      <c r="O619" s="302"/>
      <c r="P619" s="302"/>
      <c r="Q619" s="302"/>
      <c r="R619" s="302"/>
      <c r="S619" s="302"/>
      <c r="T619" s="413"/>
      <c r="U619" s="302"/>
      <c r="V619" s="302"/>
      <c r="W619" s="302"/>
      <c r="X619" s="302"/>
      <c r="Y619" s="302"/>
      <c r="Z619" s="302"/>
      <c r="AA619" s="302"/>
    </row>
    <row r="620" spans="1:27" ht="16" x14ac:dyDescent="0.2">
      <c r="A620" s="302"/>
      <c r="B620" s="302"/>
      <c r="C620" s="302"/>
      <c r="D620" s="302"/>
      <c r="E620" s="302"/>
      <c r="F620" s="302"/>
      <c r="G620" s="302"/>
      <c r="H620" s="302"/>
      <c r="I620" s="302"/>
      <c r="J620" s="302"/>
      <c r="K620" s="302"/>
      <c r="L620" s="302"/>
      <c r="M620" s="302"/>
      <c r="N620" s="302"/>
      <c r="O620" s="302"/>
      <c r="P620" s="302"/>
      <c r="Q620" s="302"/>
      <c r="R620" s="302"/>
      <c r="S620" s="302"/>
      <c r="T620" s="413"/>
      <c r="U620" s="302"/>
      <c r="V620" s="302"/>
      <c r="W620" s="302"/>
      <c r="X620" s="302"/>
      <c r="Y620" s="302"/>
      <c r="Z620" s="302"/>
      <c r="AA620" s="302"/>
    </row>
    <row r="621" spans="1:27" ht="16" x14ac:dyDescent="0.2">
      <c r="A621" s="302"/>
      <c r="B621" s="302"/>
      <c r="C621" s="302"/>
      <c r="D621" s="302"/>
      <c r="E621" s="302"/>
      <c r="F621" s="302"/>
      <c r="G621" s="302"/>
      <c r="H621" s="302"/>
      <c r="I621" s="302"/>
      <c r="J621" s="302"/>
      <c r="K621" s="302"/>
      <c r="L621" s="302"/>
      <c r="M621" s="302"/>
      <c r="N621" s="302"/>
      <c r="O621" s="302"/>
      <c r="P621" s="302"/>
      <c r="Q621" s="302"/>
      <c r="R621" s="302"/>
      <c r="S621" s="302"/>
      <c r="T621" s="413"/>
      <c r="U621" s="302"/>
      <c r="V621" s="302"/>
      <c r="W621" s="302"/>
      <c r="X621" s="302"/>
      <c r="Y621" s="302"/>
      <c r="Z621" s="302"/>
      <c r="AA621" s="302"/>
    </row>
    <row r="622" spans="1:27" ht="16" x14ac:dyDescent="0.2">
      <c r="A622" s="302"/>
      <c r="B622" s="302"/>
      <c r="C622" s="302"/>
      <c r="D622" s="302"/>
      <c r="E622" s="302"/>
      <c r="F622" s="302"/>
      <c r="G622" s="302"/>
      <c r="H622" s="302"/>
      <c r="I622" s="302"/>
      <c r="J622" s="302"/>
      <c r="K622" s="302"/>
      <c r="L622" s="302"/>
      <c r="M622" s="302"/>
      <c r="N622" s="302"/>
      <c r="O622" s="302"/>
      <c r="P622" s="302"/>
      <c r="Q622" s="302"/>
      <c r="R622" s="302"/>
      <c r="S622" s="302"/>
      <c r="T622" s="413"/>
      <c r="U622" s="302"/>
      <c r="V622" s="302"/>
      <c r="W622" s="302"/>
      <c r="X622" s="302"/>
      <c r="Y622" s="302"/>
      <c r="Z622" s="302"/>
      <c r="AA622" s="302"/>
    </row>
    <row r="623" spans="1:27" ht="16" x14ac:dyDescent="0.2">
      <c r="A623" s="302"/>
      <c r="B623" s="302"/>
      <c r="C623" s="302"/>
      <c r="D623" s="302"/>
      <c r="E623" s="302"/>
      <c r="F623" s="302"/>
      <c r="G623" s="302"/>
      <c r="H623" s="302"/>
      <c r="I623" s="302"/>
      <c r="J623" s="302"/>
      <c r="K623" s="302"/>
      <c r="L623" s="302"/>
      <c r="M623" s="302"/>
      <c r="N623" s="302"/>
      <c r="O623" s="302"/>
      <c r="P623" s="302"/>
      <c r="Q623" s="302"/>
      <c r="R623" s="302"/>
      <c r="S623" s="302"/>
      <c r="T623" s="413"/>
      <c r="U623" s="302"/>
      <c r="V623" s="302"/>
      <c r="W623" s="302"/>
      <c r="X623" s="302"/>
      <c r="Y623" s="302"/>
      <c r="Z623" s="302"/>
      <c r="AA623" s="302"/>
    </row>
    <row r="624" spans="1:27" ht="16" x14ac:dyDescent="0.2">
      <c r="A624" s="302"/>
      <c r="B624" s="302"/>
      <c r="C624" s="302"/>
      <c r="D624" s="302"/>
      <c r="E624" s="302"/>
      <c r="F624" s="302"/>
      <c r="G624" s="302"/>
      <c r="H624" s="302"/>
      <c r="I624" s="302"/>
      <c r="J624" s="302"/>
      <c r="K624" s="302"/>
      <c r="L624" s="302"/>
      <c r="M624" s="302"/>
      <c r="N624" s="302"/>
      <c r="O624" s="302"/>
      <c r="P624" s="302"/>
      <c r="Q624" s="302"/>
      <c r="R624" s="302"/>
      <c r="S624" s="302"/>
      <c r="T624" s="413"/>
      <c r="U624" s="302"/>
      <c r="V624" s="302"/>
      <c r="W624" s="302"/>
      <c r="X624" s="302"/>
      <c r="Y624" s="302"/>
      <c r="Z624" s="302"/>
      <c r="AA624" s="302"/>
    </row>
    <row r="625" spans="1:27" ht="16" x14ac:dyDescent="0.2">
      <c r="A625" s="302"/>
      <c r="B625" s="302"/>
      <c r="C625" s="302"/>
      <c r="D625" s="302"/>
      <c r="E625" s="302"/>
      <c r="F625" s="302"/>
      <c r="G625" s="302"/>
      <c r="H625" s="302"/>
      <c r="I625" s="302"/>
      <c r="J625" s="302"/>
      <c r="K625" s="302"/>
      <c r="L625" s="302"/>
      <c r="M625" s="302"/>
      <c r="N625" s="302"/>
      <c r="O625" s="302"/>
      <c r="P625" s="302"/>
      <c r="Q625" s="302"/>
      <c r="R625" s="302"/>
      <c r="S625" s="302"/>
      <c r="T625" s="413"/>
      <c r="U625" s="302"/>
      <c r="V625" s="302"/>
      <c r="W625" s="302"/>
      <c r="X625" s="302"/>
      <c r="Y625" s="302"/>
      <c r="Z625" s="302"/>
      <c r="AA625" s="302"/>
    </row>
    <row r="626" spans="1:27" ht="16" x14ac:dyDescent="0.2">
      <c r="A626" s="302"/>
      <c r="B626" s="302"/>
      <c r="C626" s="302"/>
      <c r="D626" s="302"/>
      <c r="E626" s="302"/>
      <c r="F626" s="302"/>
      <c r="G626" s="302"/>
      <c r="H626" s="302"/>
      <c r="I626" s="302"/>
      <c r="J626" s="302"/>
      <c r="K626" s="302"/>
      <c r="L626" s="302"/>
      <c r="M626" s="302"/>
      <c r="N626" s="302"/>
      <c r="O626" s="302"/>
      <c r="P626" s="302"/>
      <c r="Q626" s="302"/>
      <c r="R626" s="302"/>
      <c r="S626" s="302"/>
      <c r="T626" s="413"/>
      <c r="U626" s="302"/>
      <c r="V626" s="302"/>
      <c r="W626" s="302"/>
      <c r="X626" s="302"/>
      <c r="Y626" s="302"/>
      <c r="Z626" s="302"/>
      <c r="AA626" s="302"/>
    </row>
    <row r="627" spans="1:27" ht="16" x14ac:dyDescent="0.2">
      <c r="A627" s="302"/>
      <c r="B627" s="302"/>
      <c r="C627" s="302"/>
      <c r="D627" s="302"/>
      <c r="E627" s="302"/>
      <c r="F627" s="302"/>
      <c r="G627" s="302"/>
      <c r="H627" s="302"/>
      <c r="I627" s="302"/>
      <c r="J627" s="302"/>
      <c r="K627" s="302"/>
      <c r="L627" s="302"/>
      <c r="M627" s="302"/>
      <c r="N627" s="302"/>
      <c r="O627" s="302"/>
      <c r="P627" s="302"/>
      <c r="Q627" s="302"/>
      <c r="R627" s="302"/>
      <c r="S627" s="302"/>
      <c r="T627" s="413"/>
      <c r="U627" s="302"/>
      <c r="V627" s="302"/>
      <c r="W627" s="302"/>
      <c r="X627" s="302"/>
      <c r="Y627" s="302"/>
      <c r="Z627" s="302"/>
      <c r="AA627" s="302"/>
    </row>
    <row r="628" spans="1:27" ht="16" x14ac:dyDescent="0.2">
      <c r="A628" s="302"/>
      <c r="B628" s="302"/>
      <c r="C628" s="302"/>
      <c r="D628" s="302"/>
      <c r="E628" s="302"/>
      <c r="F628" s="302"/>
      <c r="G628" s="302"/>
      <c r="H628" s="302"/>
      <c r="I628" s="302"/>
      <c r="J628" s="302"/>
      <c r="K628" s="302"/>
      <c r="L628" s="302"/>
      <c r="M628" s="302"/>
      <c r="N628" s="302"/>
      <c r="O628" s="302"/>
      <c r="P628" s="302"/>
      <c r="Q628" s="302"/>
      <c r="R628" s="302"/>
      <c r="S628" s="302"/>
      <c r="T628" s="413"/>
      <c r="U628" s="302"/>
      <c r="V628" s="302"/>
      <c r="W628" s="302"/>
      <c r="X628" s="302"/>
      <c r="Y628" s="302"/>
      <c r="Z628" s="302"/>
      <c r="AA628" s="302"/>
    </row>
    <row r="629" spans="1:27" ht="16" x14ac:dyDescent="0.2">
      <c r="A629" s="302"/>
      <c r="B629" s="302"/>
      <c r="C629" s="302"/>
      <c r="D629" s="302"/>
      <c r="E629" s="302"/>
      <c r="F629" s="302"/>
      <c r="G629" s="302"/>
      <c r="H629" s="302"/>
      <c r="I629" s="302"/>
      <c r="J629" s="302"/>
      <c r="K629" s="302"/>
      <c r="L629" s="302"/>
      <c r="M629" s="302"/>
      <c r="N629" s="302"/>
      <c r="O629" s="302"/>
      <c r="P629" s="302"/>
      <c r="Q629" s="302"/>
      <c r="R629" s="302"/>
      <c r="S629" s="302"/>
      <c r="T629" s="413"/>
      <c r="U629" s="302"/>
      <c r="V629" s="302"/>
      <c r="W629" s="302"/>
      <c r="X629" s="302"/>
      <c r="Y629" s="302"/>
      <c r="Z629" s="302"/>
      <c r="AA629" s="302"/>
    </row>
    <row r="630" spans="1:27" ht="16" x14ac:dyDescent="0.2">
      <c r="A630" s="302"/>
      <c r="B630" s="302"/>
      <c r="C630" s="302"/>
      <c r="D630" s="302"/>
      <c r="E630" s="302"/>
      <c r="F630" s="302"/>
      <c r="G630" s="302"/>
      <c r="H630" s="302"/>
      <c r="I630" s="302"/>
      <c r="J630" s="302"/>
      <c r="K630" s="302"/>
      <c r="L630" s="302"/>
      <c r="M630" s="302"/>
      <c r="N630" s="302"/>
      <c r="O630" s="302"/>
      <c r="P630" s="302"/>
      <c r="Q630" s="302"/>
      <c r="R630" s="302"/>
      <c r="S630" s="302"/>
      <c r="T630" s="413"/>
      <c r="U630" s="302"/>
      <c r="V630" s="302"/>
      <c r="W630" s="302"/>
      <c r="X630" s="302"/>
      <c r="Y630" s="302"/>
      <c r="Z630" s="302"/>
      <c r="AA630" s="302"/>
    </row>
    <row r="631" spans="1:27" ht="16" x14ac:dyDescent="0.2">
      <c r="A631" s="302"/>
      <c r="B631" s="302"/>
      <c r="C631" s="302"/>
      <c r="D631" s="302"/>
      <c r="E631" s="302"/>
      <c r="F631" s="302"/>
      <c r="G631" s="302"/>
      <c r="H631" s="302"/>
      <c r="I631" s="302"/>
      <c r="J631" s="302"/>
      <c r="K631" s="302"/>
      <c r="L631" s="302"/>
      <c r="M631" s="302"/>
      <c r="N631" s="302"/>
      <c r="O631" s="302"/>
      <c r="P631" s="302"/>
      <c r="Q631" s="302"/>
      <c r="R631" s="302"/>
      <c r="S631" s="302"/>
      <c r="T631" s="413"/>
      <c r="U631" s="302"/>
      <c r="V631" s="302"/>
      <c r="W631" s="302"/>
      <c r="X631" s="302"/>
      <c r="Y631" s="302"/>
      <c r="Z631" s="302"/>
      <c r="AA631" s="302"/>
    </row>
    <row r="632" spans="1:27" ht="16" x14ac:dyDescent="0.2">
      <c r="A632" s="302"/>
      <c r="B632" s="302"/>
      <c r="C632" s="302"/>
      <c r="D632" s="302"/>
      <c r="E632" s="302"/>
      <c r="F632" s="302"/>
      <c r="G632" s="302"/>
      <c r="H632" s="302"/>
      <c r="I632" s="302"/>
      <c r="J632" s="302"/>
      <c r="K632" s="302"/>
      <c r="L632" s="302"/>
      <c r="M632" s="302"/>
      <c r="N632" s="302"/>
      <c r="O632" s="302"/>
      <c r="P632" s="302"/>
      <c r="Q632" s="302"/>
      <c r="R632" s="302"/>
      <c r="S632" s="302"/>
      <c r="T632" s="413"/>
      <c r="U632" s="302"/>
      <c r="V632" s="302"/>
      <c r="W632" s="302"/>
      <c r="X632" s="302"/>
      <c r="Y632" s="302"/>
      <c r="Z632" s="302"/>
      <c r="AA632" s="302"/>
    </row>
    <row r="633" spans="1:27" ht="16" x14ac:dyDescent="0.2">
      <c r="A633" s="302"/>
      <c r="B633" s="302"/>
      <c r="C633" s="302"/>
      <c r="D633" s="302"/>
      <c r="E633" s="302"/>
      <c r="F633" s="302"/>
      <c r="G633" s="302"/>
      <c r="H633" s="302"/>
      <c r="I633" s="302"/>
      <c r="J633" s="302"/>
      <c r="K633" s="302"/>
      <c r="L633" s="302"/>
      <c r="M633" s="302"/>
      <c r="N633" s="302"/>
      <c r="O633" s="302"/>
      <c r="P633" s="302"/>
      <c r="Q633" s="302"/>
      <c r="R633" s="302"/>
      <c r="S633" s="302"/>
      <c r="T633" s="413"/>
      <c r="U633" s="302"/>
      <c r="V633" s="302"/>
      <c r="W633" s="302"/>
      <c r="X633" s="302"/>
      <c r="Y633" s="302"/>
      <c r="Z633" s="302"/>
      <c r="AA633" s="302"/>
    </row>
    <row r="634" spans="1:27" ht="16" x14ac:dyDescent="0.2">
      <c r="A634" s="302"/>
      <c r="B634" s="302"/>
      <c r="C634" s="302"/>
      <c r="D634" s="302"/>
      <c r="E634" s="302"/>
      <c r="F634" s="302"/>
      <c r="G634" s="302"/>
      <c r="H634" s="302"/>
      <c r="I634" s="302"/>
      <c r="J634" s="302"/>
      <c r="K634" s="302"/>
      <c r="L634" s="302"/>
      <c r="M634" s="302"/>
      <c r="N634" s="302"/>
      <c r="O634" s="302"/>
      <c r="P634" s="302"/>
      <c r="Q634" s="302"/>
      <c r="R634" s="302"/>
      <c r="S634" s="302"/>
      <c r="T634" s="413"/>
      <c r="U634" s="302"/>
      <c r="V634" s="302"/>
      <c r="W634" s="302"/>
      <c r="X634" s="302"/>
      <c r="Y634" s="302"/>
      <c r="Z634" s="302"/>
      <c r="AA634" s="302"/>
    </row>
    <row r="635" spans="1:27" ht="16" x14ac:dyDescent="0.2">
      <c r="A635" s="302"/>
      <c r="B635" s="302"/>
      <c r="C635" s="302"/>
      <c r="D635" s="302"/>
      <c r="E635" s="302"/>
      <c r="F635" s="302"/>
      <c r="G635" s="302"/>
      <c r="H635" s="302"/>
      <c r="I635" s="302"/>
      <c r="J635" s="302"/>
      <c r="K635" s="302"/>
      <c r="L635" s="302"/>
      <c r="M635" s="302"/>
      <c r="N635" s="302"/>
      <c r="O635" s="302"/>
      <c r="P635" s="302"/>
      <c r="Q635" s="302"/>
      <c r="R635" s="302"/>
      <c r="S635" s="302"/>
      <c r="T635" s="413"/>
      <c r="U635" s="302"/>
      <c r="V635" s="302"/>
      <c r="W635" s="302"/>
      <c r="X635" s="302"/>
      <c r="Y635" s="302"/>
      <c r="Z635" s="302"/>
      <c r="AA635" s="302"/>
    </row>
    <row r="636" spans="1:27" ht="16" x14ac:dyDescent="0.2">
      <c r="A636" s="302"/>
      <c r="B636" s="302"/>
      <c r="C636" s="302"/>
      <c r="D636" s="302"/>
      <c r="E636" s="302"/>
      <c r="F636" s="302"/>
      <c r="G636" s="302"/>
      <c r="H636" s="302"/>
      <c r="I636" s="302"/>
      <c r="J636" s="302"/>
      <c r="K636" s="302"/>
      <c r="L636" s="302"/>
      <c r="M636" s="302"/>
      <c r="N636" s="302"/>
      <c r="O636" s="302"/>
      <c r="P636" s="302"/>
      <c r="Q636" s="302"/>
      <c r="R636" s="302"/>
      <c r="S636" s="302"/>
      <c r="T636" s="413"/>
      <c r="U636" s="302"/>
      <c r="V636" s="302"/>
      <c r="W636" s="302"/>
      <c r="X636" s="302"/>
      <c r="Y636" s="302"/>
      <c r="Z636" s="302"/>
      <c r="AA636" s="302"/>
    </row>
    <row r="637" spans="1:27" ht="16" x14ac:dyDescent="0.2">
      <c r="A637" s="302"/>
      <c r="B637" s="302"/>
      <c r="C637" s="302"/>
      <c r="D637" s="302"/>
      <c r="E637" s="302"/>
      <c r="F637" s="302"/>
      <c r="G637" s="302"/>
      <c r="H637" s="302"/>
      <c r="I637" s="302"/>
      <c r="J637" s="302"/>
      <c r="K637" s="302"/>
      <c r="L637" s="302"/>
      <c r="M637" s="302"/>
      <c r="N637" s="302"/>
      <c r="O637" s="302"/>
      <c r="P637" s="302"/>
      <c r="Q637" s="302"/>
      <c r="R637" s="302"/>
      <c r="S637" s="302"/>
      <c r="T637" s="413"/>
      <c r="U637" s="302"/>
      <c r="V637" s="302"/>
      <c r="W637" s="302"/>
      <c r="X637" s="302"/>
      <c r="Y637" s="302"/>
      <c r="Z637" s="302"/>
      <c r="AA637" s="302"/>
    </row>
    <row r="638" spans="1:27" ht="16" x14ac:dyDescent="0.2">
      <c r="A638" s="302"/>
      <c r="B638" s="302"/>
      <c r="C638" s="302"/>
      <c r="D638" s="302"/>
      <c r="E638" s="302"/>
      <c r="F638" s="302"/>
      <c r="G638" s="302"/>
      <c r="H638" s="302"/>
      <c r="I638" s="302"/>
      <c r="J638" s="302"/>
      <c r="K638" s="302"/>
      <c r="L638" s="302"/>
      <c r="M638" s="302"/>
      <c r="N638" s="302"/>
      <c r="O638" s="302"/>
      <c r="P638" s="302"/>
      <c r="Q638" s="302"/>
      <c r="R638" s="302"/>
      <c r="S638" s="302"/>
      <c r="T638" s="413"/>
      <c r="U638" s="302"/>
      <c r="V638" s="302"/>
      <c r="W638" s="302"/>
      <c r="X638" s="302"/>
      <c r="Y638" s="302"/>
      <c r="Z638" s="302"/>
      <c r="AA638" s="302"/>
    </row>
    <row r="639" spans="1:27" ht="16" x14ac:dyDescent="0.2">
      <c r="A639" s="302"/>
      <c r="B639" s="302"/>
      <c r="C639" s="302"/>
      <c r="D639" s="302"/>
      <c r="E639" s="302"/>
      <c r="F639" s="302"/>
      <c r="G639" s="302"/>
      <c r="H639" s="302"/>
      <c r="I639" s="302"/>
      <c r="J639" s="302"/>
      <c r="K639" s="302"/>
      <c r="L639" s="302"/>
      <c r="M639" s="302"/>
      <c r="N639" s="302"/>
      <c r="O639" s="302"/>
      <c r="P639" s="302"/>
      <c r="Q639" s="302"/>
      <c r="R639" s="302"/>
      <c r="S639" s="302"/>
      <c r="T639" s="413"/>
      <c r="U639" s="302"/>
      <c r="V639" s="302"/>
      <c r="W639" s="302"/>
      <c r="X639" s="302"/>
      <c r="Y639" s="302"/>
      <c r="Z639" s="302"/>
      <c r="AA639" s="302"/>
    </row>
    <row r="640" spans="1:27" ht="16" x14ac:dyDescent="0.2">
      <c r="A640" s="302"/>
      <c r="B640" s="302"/>
      <c r="C640" s="302"/>
      <c r="D640" s="302"/>
      <c r="E640" s="302"/>
      <c r="F640" s="302"/>
      <c r="G640" s="302"/>
      <c r="H640" s="302"/>
      <c r="I640" s="302"/>
      <c r="J640" s="302"/>
      <c r="K640" s="302"/>
      <c r="L640" s="302"/>
      <c r="M640" s="302"/>
      <c r="N640" s="302"/>
      <c r="O640" s="302"/>
      <c r="P640" s="302"/>
      <c r="Q640" s="302"/>
      <c r="R640" s="302"/>
      <c r="S640" s="302"/>
      <c r="T640" s="413"/>
      <c r="U640" s="302"/>
      <c r="V640" s="302"/>
      <c r="W640" s="302"/>
      <c r="X640" s="302"/>
      <c r="Y640" s="302"/>
      <c r="Z640" s="302"/>
      <c r="AA640" s="302"/>
    </row>
    <row r="641" spans="1:27" ht="16" x14ac:dyDescent="0.2">
      <c r="A641" s="302"/>
      <c r="B641" s="302"/>
      <c r="C641" s="302"/>
      <c r="D641" s="302"/>
      <c r="E641" s="302"/>
      <c r="F641" s="302"/>
      <c r="G641" s="302"/>
      <c r="H641" s="302"/>
      <c r="I641" s="302"/>
      <c r="J641" s="302"/>
      <c r="K641" s="302"/>
      <c r="L641" s="302"/>
      <c r="M641" s="302"/>
      <c r="N641" s="302"/>
      <c r="O641" s="302"/>
      <c r="P641" s="302"/>
      <c r="Q641" s="302"/>
      <c r="R641" s="302"/>
      <c r="S641" s="302"/>
      <c r="T641" s="413"/>
      <c r="U641" s="302"/>
      <c r="V641" s="302"/>
      <c r="W641" s="302"/>
      <c r="X641" s="302"/>
      <c r="Y641" s="302"/>
      <c r="Z641" s="302"/>
      <c r="AA641" s="302"/>
    </row>
    <row r="642" spans="1:27" ht="16" x14ac:dyDescent="0.2">
      <c r="A642" s="302"/>
      <c r="B642" s="302"/>
      <c r="C642" s="302"/>
      <c r="D642" s="302"/>
      <c r="E642" s="302"/>
      <c r="F642" s="302"/>
      <c r="G642" s="302"/>
      <c r="H642" s="302"/>
      <c r="I642" s="302"/>
      <c r="J642" s="302"/>
      <c r="K642" s="302"/>
      <c r="L642" s="302"/>
      <c r="M642" s="302"/>
      <c r="N642" s="302"/>
      <c r="O642" s="302"/>
      <c r="P642" s="302"/>
      <c r="Q642" s="302"/>
      <c r="R642" s="302"/>
      <c r="S642" s="302"/>
      <c r="T642" s="413"/>
      <c r="U642" s="302"/>
      <c r="V642" s="302"/>
      <c r="W642" s="302"/>
      <c r="X642" s="302"/>
      <c r="Y642" s="302"/>
      <c r="Z642" s="302"/>
      <c r="AA642" s="302"/>
    </row>
    <row r="643" spans="1:27" ht="16" x14ac:dyDescent="0.2">
      <c r="A643" s="302"/>
      <c r="B643" s="302"/>
      <c r="C643" s="302"/>
      <c r="D643" s="302"/>
      <c r="E643" s="302"/>
      <c r="F643" s="302"/>
      <c r="G643" s="302"/>
      <c r="H643" s="302"/>
      <c r="I643" s="302"/>
      <c r="J643" s="302"/>
      <c r="K643" s="302"/>
      <c r="L643" s="302"/>
      <c r="M643" s="302"/>
      <c r="N643" s="302"/>
      <c r="O643" s="302"/>
      <c r="P643" s="302"/>
      <c r="Q643" s="302"/>
      <c r="R643" s="302"/>
      <c r="S643" s="302"/>
      <c r="T643" s="413"/>
      <c r="U643" s="302"/>
      <c r="V643" s="302"/>
      <c r="W643" s="302"/>
      <c r="X643" s="302"/>
      <c r="Y643" s="302"/>
      <c r="Z643" s="302"/>
      <c r="AA643" s="302"/>
    </row>
    <row r="644" spans="1:27" ht="16" x14ac:dyDescent="0.2">
      <c r="A644" s="302"/>
      <c r="B644" s="302"/>
      <c r="C644" s="302"/>
      <c r="D644" s="302"/>
      <c r="E644" s="302"/>
      <c r="F644" s="302"/>
      <c r="G644" s="302"/>
      <c r="H644" s="302"/>
      <c r="I644" s="302"/>
      <c r="J644" s="302"/>
      <c r="K644" s="302"/>
      <c r="L644" s="302"/>
      <c r="M644" s="302"/>
      <c r="N644" s="302"/>
      <c r="O644" s="302"/>
      <c r="P644" s="302"/>
      <c r="Q644" s="302"/>
      <c r="R644" s="302"/>
      <c r="S644" s="302"/>
      <c r="T644" s="413"/>
      <c r="U644" s="302"/>
      <c r="V644" s="302"/>
      <c r="W644" s="302"/>
      <c r="X644" s="302"/>
      <c r="Y644" s="302"/>
      <c r="Z644" s="302"/>
      <c r="AA644" s="302"/>
    </row>
    <row r="645" spans="1:27" ht="16" x14ac:dyDescent="0.2">
      <c r="A645" s="302"/>
      <c r="B645" s="302"/>
      <c r="C645" s="302"/>
      <c r="D645" s="302"/>
      <c r="E645" s="302"/>
      <c r="F645" s="302"/>
      <c r="G645" s="302"/>
      <c r="H645" s="302"/>
      <c r="I645" s="302"/>
      <c r="J645" s="302"/>
      <c r="K645" s="302"/>
      <c r="L645" s="302"/>
      <c r="M645" s="302"/>
      <c r="N645" s="302"/>
      <c r="O645" s="302"/>
      <c r="P645" s="302"/>
      <c r="Q645" s="302"/>
      <c r="R645" s="302"/>
      <c r="S645" s="302"/>
      <c r="T645" s="413"/>
      <c r="U645" s="302"/>
      <c r="V645" s="302"/>
      <c r="W645" s="302"/>
      <c r="X645" s="302"/>
      <c r="Y645" s="302"/>
      <c r="Z645" s="302"/>
      <c r="AA645" s="302"/>
    </row>
    <row r="646" spans="1:27" ht="16" x14ac:dyDescent="0.2">
      <c r="A646" s="302"/>
      <c r="B646" s="302"/>
      <c r="C646" s="302"/>
      <c r="D646" s="302"/>
      <c r="E646" s="302"/>
      <c r="F646" s="302"/>
      <c r="G646" s="302"/>
      <c r="H646" s="302"/>
      <c r="I646" s="302"/>
      <c r="J646" s="302"/>
      <c r="K646" s="302"/>
      <c r="L646" s="302"/>
      <c r="M646" s="302"/>
      <c r="N646" s="302"/>
      <c r="O646" s="302"/>
      <c r="P646" s="302"/>
      <c r="Q646" s="302"/>
      <c r="R646" s="302"/>
      <c r="S646" s="302"/>
      <c r="T646" s="413"/>
      <c r="U646" s="302"/>
      <c r="V646" s="302"/>
      <c r="W646" s="302"/>
      <c r="X646" s="302"/>
      <c r="Y646" s="302"/>
      <c r="Z646" s="302"/>
      <c r="AA646" s="302"/>
    </row>
    <row r="647" spans="1:27" ht="16" x14ac:dyDescent="0.2">
      <c r="A647" s="302"/>
      <c r="B647" s="302"/>
      <c r="C647" s="302"/>
      <c r="D647" s="302"/>
      <c r="E647" s="302"/>
      <c r="F647" s="302"/>
      <c r="G647" s="302"/>
      <c r="H647" s="302"/>
      <c r="I647" s="302"/>
      <c r="J647" s="302"/>
      <c r="K647" s="302"/>
      <c r="L647" s="302"/>
      <c r="M647" s="302"/>
      <c r="N647" s="302"/>
      <c r="O647" s="302"/>
      <c r="P647" s="302"/>
      <c r="Q647" s="302"/>
      <c r="R647" s="302"/>
      <c r="S647" s="302"/>
      <c r="T647" s="413"/>
      <c r="U647" s="302"/>
      <c r="V647" s="302"/>
      <c r="W647" s="302"/>
      <c r="X647" s="302"/>
      <c r="Y647" s="302"/>
      <c r="Z647" s="302"/>
      <c r="AA647" s="302"/>
    </row>
    <row r="648" spans="1:27" ht="16" x14ac:dyDescent="0.2">
      <c r="A648" s="302"/>
      <c r="B648" s="302"/>
      <c r="C648" s="302"/>
      <c r="D648" s="302"/>
      <c r="E648" s="302"/>
      <c r="F648" s="302"/>
      <c r="G648" s="302"/>
      <c r="H648" s="302"/>
      <c r="I648" s="302"/>
      <c r="J648" s="302"/>
      <c r="K648" s="302"/>
      <c r="L648" s="302"/>
      <c r="M648" s="302"/>
      <c r="N648" s="302"/>
      <c r="O648" s="302"/>
      <c r="P648" s="302"/>
      <c r="Q648" s="302"/>
      <c r="R648" s="302"/>
      <c r="S648" s="302"/>
      <c r="T648" s="413"/>
      <c r="U648" s="302"/>
      <c r="V648" s="302"/>
      <c r="W648" s="302"/>
      <c r="X648" s="302"/>
      <c r="Y648" s="302"/>
      <c r="Z648" s="302"/>
      <c r="AA648" s="302"/>
    </row>
    <row r="649" spans="1:27" ht="16" x14ac:dyDescent="0.2">
      <c r="A649" s="302"/>
      <c r="B649" s="302"/>
      <c r="C649" s="302"/>
      <c r="D649" s="302"/>
      <c r="E649" s="302"/>
      <c r="F649" s="302"/>
      <c r="G649" s="302"/>
      <c r="H649" s="302"/>
      <c r="I649" s="302"/>
      <c r="J649" s="302"/>
      <c r="K649" s="302"/>
      <c r="L649" s="302"/>
      <c r="M649" s="302"/>
      <c r="N649" s="302"/>
      <c r="O649" s="302"/>
      <c r="P649" s="302"/>
      <c r="Q649" s="302"/>
      <c r="R649" s="302"/>
      <c r="S649" s="302"/>
      <c r="T649" s="413"/>
      <c r="U649" s="302"/>
      <c r="V649" s="302"/>
      <c r="W649" s="302"/>
      <c r="X649" s="302"/>
      <c r="Y649" s="302"/>
      <c r="Z649" s="302"/>
      <c r="AA649" s="302"/>
    </row>
    <row r="650" spans="1:27" ht="16" x14ac:dyDescent="0.2">
      <c r="A650" s="302"/>
      <c r="B650" s="302"/>
      <c r="C650" s="302"/>
      <c r="D650" s="302"/>
      <c r="E650" s="302"/>
      <c r="F650" s="302"/>
      <c r="G650" s="302"/>
      <c r="H650" s="302"/>
      <c r="I650" s="302"/>
      <c r="J650" s="302"/>
      <c r="K650" s="302"/>
      <c r="L650" s="302"/>
      <c r="M650" s="302"/>
      <c r="N650" s="302"/>
      <c r="O650" s="302"/>
      <c r="P650" s="302"/>
      <c r="Q650" s="302"/>
      <c r="R650" s="302"/>
      <c r="S650" s="302"/>
      <c r="T650" s="413"/>
      <c r="U650" s="302"/>
      <c r="V650" s="302"/>
      <c r="W650" s="302"/>
      <c r="X650" s="302"/>
      <c r="Y650" s="302"/>
      <c r="Z650" s="302"/>
      <c r="AA650" s="302"/>
    </row>
    <row r="651" spans="1:27" ht="16" x14ac:dyDescent="0.2">
      <c r="A651" s="302"/>
      <c r="B651" s="302"/>
      <c r="C651" s="302"/>
      <c r="D651" s="302"/>
      <c r="E651" s="302"/>
      <c r="F651" s="302"/>
      <c r="G651" s="302"/>
      <c r="H651" s="302"/>
      <c r="I651" s="302"/>
      <c r="J651" s="302"/>
      <c r="K651" s="302"/>
      <c r="L651" s="302"/>
      <c r="M651" s="302"/>
      <c r="N651" s="302"/>
      <c r="O651" s="302"/>
      <c r="P651" s="302"/>
      <c r="Q651" s="302"/>
      <c r="R651" s="302"/>
      <c r="S651" s="302"/>
      <c r="T651" s="413"/>
      <c r="U651" s="302"/>
      <c r="V651" s="302"/>
      <c r="W651" s="302"/>
      <c r="X651" s="302"/>
      <c r="Y651" s="302"/>
      <c r="Z651" s="302"/>
      <c r="AA651" s="302"/>
    </row>
    <row r="652" spans="1:27" ht="16" x14ac:dyDescent="0.2">
      <c r="A652" s="302"/>
      <c r="B652" s="302"/>
      <c r="C652" s="302"/>
      <c r="D652" s="302"/>
      <c r="E652" s="302"/>
      <c r="F652" s="302"/>
      <c r="G652" s="302"/>
      <c r="H652" s="302"/>
      <c r="I652" s="302"/>
      <c r="J652" s="302"/>
      <c r="K652" s="302"/>
      <c r="L652" s="302"/>
      <c r="M652" s="302"/>
      <c r="N652" s="302"/>
      <c r="O652" s="302"/>
      <c r="P652" s="302"/>
      <c r="Q652" s="302"/>
      <c r="R652" s="302"/>
      <c r="S652" s="302"/>
      <c r="T652" s="413"/>
      <c r="U652" s="302"/>
      <c r="V652" s="302"/>
      <c r="W652" s="302"/>
      <c r="X652" s="302"/>
      <c r="Y652" s="302"/>
      <c r="Z652" s="302"/>
      <c r="AA652" s="302"/>
    </row>
    <row r="653" spans="1:27" ht="16" x14ac:dyDescent="0.2">
      <c r="A653" s="302"/>
      <c r="B653" s="302"/>
      <c r="C653" s="302"/>
      <c r="D653" s="302"/>
      <c r="E653" s="302"/>
      <c r="F653" s="302"/>
      <c r="G653" s="302"/>
      <c r="H653" s="302"/>
      <c r="I653" s="302"/>
      <c r="J653" s="302"/>
      <c r="K653" s="302"/>
      <c r="L653" s="302"/>
      <c r="M653" s="302"/>
      <c r="N653" s="302"/>
      <c r="O653" s="302"/>
      <c r="P653" s="302"/>
      <c r="Q653" s="302"/>
      <c r="R653" s="302"/>
      <c r="S653" s="302"/>
      <c r="T653" s="413"/>
      <c r="U653" s="302"/>
      <c r="V653" s="302"/>
      <c r="W653" s="302"/>
      <c r="X653" s="302"/>
      <c r="Y653" s="302"/>
      <c r="Z653" s="302"/>
      <c r="AA653" s="302"/>
    </row>
    <row r="654" spans="1:27" ht="16" x14ac:dyDescent="0.2">
      <c r="A654" s="302"/>
      <c r="B654" s="302"/>
      <c r="C654" s="302"/>
      <c r="D654" s="302"/>
      <c r="E654" s="302"/>
      <c r="F654" s="302"/>
      <c r="G654" s="302"/>
      <c r="H654" s="302"/>
      <c r="I654" s="302"/>
      <c r="J654" s="302"/>
      <c r="K654" s="302"/>
      <c r="L654" s="302"/>
      <c r="M654" s="302"/>
      <c r="N654" s="302"/>
      <c r="O654" s="302"/>
      <c r="P654" s="302"/>
      <c r="Q654" s="302"/>
      <c r="R654" s="302"/>
      <c r="S654" s="302"/>
      <c r="T654" s="413"/>
      <c r="U654" s="302"/>
      <c r="V654" s="302"/>
      <c r="W654" s="302"/>
      <c r="X654" s="302"/>
      <c r="Y654" s="302"/>
      <c r="Z654" s="302"/>
      <c r="AA654" s="302"/>
    </row>
    <row r="655" spans="1:27" ht="16" x14ac:dyDescent="0.2">
      <c r="A655" s="302"/>
      <c r="B655" s="302"/>
      <c r="C655" s="302"/>
      <c r="D655" s="302"/>
      <c r="E655" s="302"/>
      <c r="F655" s="302"/>
      <c r="G655" s="302"/>
      <c r="H655" s="302"/>
      <c r="I655" s="302"/>
      <c r="J655" s="302"/>
      <c r="K655" s="302"/>
      <c r="L655" s="302"/>
      <c r="M655" s="302"/>
      <c r="N655" s="302"/>
      <c r="O655" s="302"/>
      <c r="P655" s="302"/>
      <c r="Q655" s="302"/>
      <c r="R655" s="302"/>
      <c r="S655" s="302"/>
      <c r="T655" s="413"/>
      <c r="U655" s="302"/>
      <c r="V655" s="302"/>
      <c r="W655" s="302"/>
      <c r="X655" s="302"/>
      <c r="Y655" s="302"/>
      <c r="Z655" s="302"/>
      <c r="AA655" s="302"/>
    </row>
    <row r="656" spans="1:27" ht="16" x14ac:dyDescent="0.2">
      <c r="A656" s="302"/>
      <c r="B656" s="302"/>
      <c r="C656" s="302"/>
      <c r="D656" s="302"/>
      <c r="E656" s="302"/>
      <c r="F656" s="302"/>
      <c r="G656" s="302"/>
      <c r="H656" s="302"/>
      <c r="I656" s="302"/>
      <c r="J656" s="302"/>
      <c r="K656" s="302"/>
      <c r="L656" s="302"/>
      <c r="M656" s="302"/>
      <c r="N656" s="302"/>
      <c r="O656" s="302"/>
      <c r="P656" s="302"/>
      <c r="Q656" s="302"/>
      <c r="R656" s="302"/>
      <c r="S656" s="302"/>
      <c r="T656" s="413"/>
      <c r="U656" s="302"/>
      <c r="V656" s="302"/>
      <c r="W656" s="302"/>
      <c r="X656" s="302"/>
      <c r="Y656" s="302"/>
      <c r="Z656" s="302"/>
      <c r="AA656" s="302"/>
    </row>
    <row r="657" spans="1:27" ht="16" x14ac:dyDescent="0.2">
      <c r="A657" s="302"/>
      <c r="B657" s="302"/>
      <c r="C657" s="302"/>
      <c r="D657" s="302"/>
      <c r="E657" s="302"/>
      <c r="F657" s="302"/>
      <c r="G657" s="302"/>
      <c r="H657" s="302"/>
      <c r="I657" s="302"/>
      <c r="J657" s="302"/>
      <c r="K657" s="302"/>
      <c r="L657" s="302"/>
      <c r="M657" s="302"/>
      <c r="N657" s="302"/>
      <c r="O657" s="302"/>
      <c r="P657" s="302"/>
      <c r="Q657" s="302"/>
      <c r="R657" s="302"/>
      <c r="S657" s="302"/>
      <c r="T657" s="413"/>
      <c r="U657" s="302"/>
      <c r="V657" s="302"/>
      <c r="W657" s="302"/>
      <c r="X657" s="302"/>
      <c r="Y657" s="302"/>
      <c r="Z657" s="302"/>
      <c r="AA657" s="302"/>
    </row>
    <row r="658" spans="1:27" ht="16" x14ac:dyDescent="0.2">
      <c r="A658" s="302"/>
      <c r="B658" s="302"/>
      <c r="C658" s="302"/>
      <c r="D658" s="302"/>
      <c r="E658" s="302"/>
      <c r="F658" s="302"/>
      <c r="G658" s="302"/>
      <c r="H658" s="302"/>
      <c r="I658" s="302"/>
      <c r="J658" s="302"/>
      <c r="K658" s="302"/>
      <c r="L658" s="302"/>
      <c r="M658" s="302"/>
      <c r="N658" s="302"/>
      <c r="O658" s="302"/>
      <c r="P658" s="302"/>
      <c r="Q658" s="302"/>
      <c r="R658" s="302"/>
      <c r="S658" s="302"/>
      <c r="T658" s="413"/>
      <c r="U658" s="302"/>
      <c r="V658" s="302"/>
      <c r="W658" s="302"/>
      <c r="X658" s="302"/>
      <c r="Y658" s="302"/>
      <c r="Z658" s="302"/>
      <c r="AA658" s="302"/>
    </row>
    <row r="659" spans="1:27" ht="16" x14ac:dyDescent="0.2">
      <c r="A659" s="302"/>
      <c r="B659" s="302"/>
      <c r="C659" s="302"/>
      <c r="D659" s="302"/>
      <c r="E659" s="302"/>
      <c r="F659" s="302"/>
      <c r="G659" s="302"/>
      <c r="H659" s="302"/>
      <c r="I659" s="302"/>
      <c r="J659" s="302"/>
      <c r="K659" s="302"/>
      <c r="L659" s="302"/>
      <c r="M659" s="302"/>
      <c r="N659" s="302"/>
      <c r="O659" s="302"/>
      <c r="P659" s="302"/>
      <c r="Q659" s="302"/>
      <c r="R659" s="302"/>
      <c r="S659" s="302"/>
      <c r="T659" s="413"/>
      <c r="U659" s="302"/>
      <c r="V659" s="302"/>
      <c r="W659" s="302"/>
      <c r="X659" s="302"/>
      <c r="Y659" s="302"/>
      <c r="Z659" s="302"/>
      <c r="AA659" s="302"/>
    </row>
    <row r="660" spans="1:27" ht="16" x14ac:dyDescent="0.2">
      <c r="A660" s="302"/>
      <c r="B660" s="302"/>
      <c r="C660" s="302"/>
      <c r="D660" s="302"/>
      <c r="E660" s="302"/>
      <c r="F660" s="302"/>
      <c r="G660" s="302"/>
      <c r="H660" s="302"/>
      <c r="I660" s="302"/>
      <c r="J660" s="302"/>
      <c r="K660" s="302"/>
      <c r="L660" s="302"/>
      <c r="M660" s="302"/>
      <c r="N660" s="302"/>
      <c r="O660" s="302"/>
      <c r="P660" s="302"/>
      <c r="Q660" s="302"/>
      <c r="R660" s="302"/>
      <c r="S660" s="302"/>
      <c r="T660" s="413"/>
      <c r="U660" s="302"/>
      <c r="V660" s="302"/>
      <c r="W660" s="302"/>
      <c r="X660" s="302"/>
      <c r="Y660" s="302"/>
      <c r="Z660" s="302"/>
      <c r="AA660" s="302"/>
    </row>
    <row r="661" spans="1:27" ht="16" x14ac:dyDescent="0.2">
      <c r="A661" s="302"/>
      <c r="B661" s="302"/>
      <c r="C661" s="302"/>
      <c r="D661" s="302"/>
      <c r="E661" s="302"/>
      <c r="F661" s="302"/>
      <c r="G661" s="302"/>
      <c r="H661" s="302"/>
      <c r="I661" s="302"/>
      <c r="J661" s="302"/>
      <c r="K661" s="302"/>
      <c r="L661" s="302"/>
      <c r="M661" s="302"/>
      <c r="N661" s="302"/>
      <c r="O661" s="302"/>
      <c r="P661" s="302"/>
      <c r="Q661" s="302"/>
      <c r="R661" s="302"/>
      <c r="S661" s="302"/>
      <c r="T661" s="413"/>
      <c r="U661" s="302"/>
      <c r="V661" s="302"/>
      <c r="W661" s="302"/>
      <c r="X661" s="302"/>
      <c r="Y661" s="302"/>
      <c r="Z661" s="302"/>
      <c r="AA661" s="302"/>
    </row>
    <row r="662" spans="1:27" ht="16" x14ac:dyDescent="0.2">
      <c r="A662" s="302"/>
      <c r="B662" s="302"/>
      <c r="C662" s="302"/>
      <c r="D662" s="302"/>
      <c r="E662" s="302"/>
      <c r="F662" s="302"/>
      <c r="G662" s="302"/>
      <c r="H662" s="302"/>
      <c r="I662" s="302"/>
      <c r="J662" s="302"/>
      <c r="K662" s="302"/>
      <c r="L662" s="302"/>
      <c r="M662" s="302"/>
      <c r="N662" s="302"/>
      <c r="O662" s="302"/>
      <c r="P662" s="302"/>
      <c r="Q662" s="302"/>
      <c r="R662" s="302"/>
      <c r="S662" s="302"/>
      <c r="T662" s="413"/>
      <c r="U662" s="302"/>
      <c r="V662" s="302"/>
      <c r="W662" s="302"/>
      <c r="X662" s="302"/>
      <c r="Y662" s="302"/>
      <c r="Z662" s="302"/>
      <c r="AA662" s="302"/>
    </row>
    <row r="663" spans="1:27" ht="16" x14ac:dyDescent="0.2">
      <c r="A663" s="302"/>
      <c r="B663" s="302"/>
      <c r="C663" s="302"/>
      <c r="D663" s="302"/>
      <c r="E663" s="302"/>
      <c r="F663" s="302"/>
      <c r="G663" s="302"/>
      <c r="H663" s="302"/>
      <c r="I663" s="302"/>
      <c r="J663" s="302"/>
      <c r="K663" s="302"/>
      <c r="L663" s="302"/>
      <c r="M663" s="302"/>
      <c r="N663" s="302"/>
      <c r="O663" s="302"/>
      <c r="P663" s="302"/>
      <c r="Q663" s="302"/>
      <c r="R663" s="302"/>
      <c r="S663" s="302"/>
      <c r="T663" s="413"/>
      <c r="U663" s="302"/>
      <c r="V663" s="302"/>
      <c r="W663" s="302"/>
      <c r="X663" s="302"/>
      <c r="Y663" s="302"/>
      <c r="Z663" s="302"/>
      <c r="AA663" s="302"/>
    </row>
    <row r="664" spans="1:27" ht="16" x14ac:dyDescent="0.2">
      <c r="A664" s="302"/>
      <c r="B664" s="302"/>
      <c r="C664" s="302"/>
      <c r="D664" s="302"/>
      <c r="E664" s="302"/>
      <c r="F664" s="302"/>
      <c r="G664" s="302"/>
      <c r="H664" s="302"/>
      <c r="I664" s="302"/>
      <c r="J664" s="302"/>
      <c r="K664" s="302"/>
      <c r="L664" s="302"/>
      <c r="M664" s="302"/>
      <c r="N664" s="302"/>
      <c r="O664" s="302"/>
      <c r="P664" s="302"/>
      <c r="Q664" s="302"/>
      <c r="R664" s="302"/>
      <c r="S664" s="302"/>
      <c r="T664" s="413"/>
      <c r="U664" s="302"/>
      <c r="V664" s="302"/>
      <c r="W664" s="302"/>
      <c r="X664" s="302"/>
      <c r="Y664" s="302"/>
      <c r="Z664" s="302"/>
      <c r="AA664" s="302"/>
    </row>
    <row r="665" spans="1:27" ht="16" x14ac:dyDescent="0.2">
      <c r="A665" s="302"/>
      <c r="B665" s="302"/>
      <c r="C665" s="302"/>
      <c r="D665" s="302"/>
      <c r="E665" s="302"/>
      <c r="F665" s="302"/>
      <c r="G665" s="302"/>
      <c r="H665" s="302"/>
      <c r="I665" s="302"/>
      <c r="J665" s="302"/>
      <c r="K665" s="302"/>
      <c r="L665" s="302"/>
      <c r="M665" s="302"/>
      <c r="N665" s="302"/>
      <c r="O665" s="302"/>
      <c r="P665" s="302"/>
      <c r="Q665" s="302"/>
      <c r="R665" s="302"/>
      <c r="S665" s="302"/>
      <c r="T665" s="413"/>
      <c r="U665" s="302"/>
      <c r="V665" s="302"/>
      <c r="W665" s="302"/>
      <c r="X665" s="302"/>
      <c r="Y665" s="302"/>
      <c r="Z665" s="302"/>
      <c r="AA665" s="302"/>
    </row>
    <row r="666" spans="1:27" ht="16" x14ac:dyDescent="0.2">
      <c r="A666" s="302"/>
      <c r="B666" s="302"/>
      <c r="C666" s="302"/>
      <c r="D666" s="302"/>
      <c r="E666" s="302"/>
      <c r="F666" s="302"/>
      <c r="G666" s="302"/>
      <c r="H666" s="302"/>
      <c r="I666" s="302"/>
      <c r="J666" s="302"/>
      <c r="K666" s="302"/>
      <c r="L666" s="302"/>
      <c r="M666" s="302"/>
      <c r="N666" s="302"/>
      <c r="O666" s="302"/>
      <c r="P666" s="302"/>
      <c r="Q666" s="302"/>
      <c r="R666" s="302"/>
      <c r="S666" s="302"/>
      <c r="T666" s="413"/>
      <c r="U666" s="302"/>
      <c r="V666" s="302"/>
      <c r="W666" s="302"/>
      <c r="X666" s="302"/>
      <c r="Y666" s="302"/>
      <c r="Z666" s="302"/>
      <c r="AA666" s="302"/>
    </row>
    <row r="667" spans="1:27" ht="16" x14ac:dyDescent="0.2">
      <c r="A667" s="302"/>
      <c r="B667" s="302"/>
      <c r="C667" s="302"/>
      <c r="D667" s="302"/>
      <c r="E667" s="302"/>
      <c r="F667" s="302"/>
      <c r="G667" s="302"/>
      <c r="H667" s="302"/>
      <c r="I667" s="302"/>
      <c r="J667" s="302"/>
      <c r="K667" s="302"/>
      <c r="L667" s="302"/>
      <c r="M667" s="302"/>
      <c r="N667" s="302"/>
      <c r="O667" s="302"/>
      <c r="P667" s="302"/>
      <c r="Q667" s="302"/>
      <c r="R667" s="302"/>
      <c r="S667" s="302"/>
      <c r="T667" s="413"/>
      <c r="U667" s="302"/>
      <c r="V667" s="302"/>
      <c r="W667" s="302"/>
      <c r="X667" s="302"/>
      <c r="Y667" s="302"/>
      <c r="Z667" s="302"/>
      <c r="AA667" s="302"/>
    </row>
    <row r="668" spans="1:27" ht="16" x14ac:dyDescent="0.2">
      <c r="A668" s="302"/>
      <c r="B668" s="302"/>
      <c r="C668" s="302"/>
      <c r="D668" s="302"/>
      <c r="E668" s="302"/>
      <c r="F668" s="302"/>
      <c r="G668" s="302"/>
      <c r="H668" s="302"/>
      <c r="I668" s="302"/>
      <c r="J668" s="302"/>
      <c r="K668" s="302"/>
      <c r="L668" s="302"/>
      <c r="M668" s="302"/>
      <c r="N668" s="302"/>
      <c r="O668" s="302"/>
      <c r="P668" s="302"/>
      <c r="Q668" s="302"/>
      <c r="R668" s="302"/>
      <c r="S668" s="302"/>
      <c r="T668" s="413"/>
      <c r="U668" s="302"/>
      <c r="V668" s="302"/>
      <c r="W668" s="302"/>
      <c r="X668" s="302"/>
      <c r="Y668" s="302"/>
      <c r="Z668" s="302"/>
      <c r="AA668" s="302"/>
    </row>
    <row r="669" spans="1:27" ht="16" x14ac:dyDescent="0.2">
      <c r="A669" s="302"/>
      <c r="B669" s="302"/>
      <c r="C669" s="302"/>
      <c r="D669" s="302"/>
      <c r="E669" s="302"/>
      <c r="F669" s="302"/>
      <c r="G669" s="302"/>
      <c r="H669" s="302"/>
      <c r="I669" s="302"/>
      <c r="J669" s="302"/>
      <c r="K669" s="302"/>
      <c r="L669" s="302"/>
      <c r="M669" s="302"/>
      <c r="N669" s="302"/>
      <c r="O669" s="302"/>
      <c r="P669" s="302"/>
      <c r="Q669" s="302"/>
      <c r="R669" s="302"/>
      <c r="S669" s="302"/>
      <c r="T669" s="413"/>
      <c r="U669" s="302"/>
      <c r="V669" s="302"/>
      <c r="W669" s="302"/>
      <c r="X669" s="302"/>
      <c r="Y669" s="302"/>
      <c r="Z669" s="302"/>
      <c r="AA669" s="302"/>
    </row>
    <row r="670" spans="1:27" ht="16" x14ac:dyDescent="0.2">
      <c r="A670" s="302"/>
      <c r="B670" s="302"/>
      <c r="C670" s="302"/>
      <c r="D670" s="302"/>
      <c r="E670" s="302"/>
      <c r="F670" s="302"/>
      <c r="G670" s="302"/>
      <c r="H670" s="302"/>
      <c r="I670" s="302"/>
      <c r="J670" s="302"/>
      <c r="K670" s="302"/>
      <c r="L670" s="302"/>
      <c r="M670" s="302"/>
      <c r="N670" s="302"/>
      <c r="O670" s="302"/>
      <c r="P670" s="302"/>
      <c r="Q670" s="302"/>
      <c r="R670" s="302"/>
      <c r="S670" s="302"/>
      <c r="T670" s="413"/>
      <c r="U670" s="302"/>
      <c r="V670" s="302"/>
      <c r="W670" s="302"/>
      <c r="X670" s="302"/>
      <c r="Y670" s="302"/>
      <c r="Z670" s="302"/>
      <c r="AA670" s="302"/>
    </row>
    <row r="671" spans="1:27" ht="16" x14ac:dyDescent="0.2">
      <c r="A671" s="302"/>
      <c r="B671" s="302"/>
      <c r="C671" s="302"/>
      <c r="D671" s="302"/>
      <c r="E671" s="302"/>
      <c r="F671" s="302"/>
      <c r="G671" s="302"/>
      <c r="H671" s="302"/>
      <c r="I671" s="302"/>
      <c r="J671" s="302"/>
      <c r="K671" s="302"/>
      <c r="L671" s="302"/>
      <c r="M671" s="302"/>
      <c r="N671" s="302"/>
      <c r="O671" s="302"/>
      <c r="P671" s="302"/>
      <c r="Q671" s="302"/>
      <c r="R671" s="302"/>
      <c r="S671" s="302"/>
      <c r="T671" s="413"/>
      <c r="U671" s="302"/>
      <c r="V671" s="302"/>
      <c r="W671" s="302"/>
      <c r="X671" s="302"/>
      <c r="Y671" s="302"/>
      <c r="Z671" s="302"/>
      <c r="AA671" s="302"/>
    </row>
    <row r="672" spans="1:27" ht="16" x14ac:dyDescent="0.2">
      <c r="A672" s="302"/>
      <c r="B672" s="302"/>
      <c r="C672" s="302"/>
      <c r="D672" s="302"/>
      <c r="E672" s="302"/>
      <c r="F672" s="302"/>
      <c r="G672" s="302"/>
      <c r="H672" s="302"/>
      <c r="I672" s="302"/>
      <c r="J672" s="302"/>
      <c r="K672" s="302"/>
      <c r="L672" s="302"/>
      <c r="M672" s="302"/>
      <c r="N672" s="302"/>
      <c r="O672" s="302"/>
      <c r="P672" s="302"/>
      <c r="Q672" s="302"/>
      <c r="R672" s="302"/>
      <c r="S672" s="302"/>
      <c r="T672" s="413"/>
      <c r="U672" s="302"/>
      <c r="V672" s="302"/>
      <c r="W672" s="302"/>
      <c r="X672" s="302"/>
      <c r="Y672" s="302"/>
      <c r="Z672" s="302"/>
      <c r="AA672" s="302"/>
    </row>
    <row r="673" spans="1:27" ht="16" x14ac:dyDescent="0.2">
      <c r="A673" s="302"/>
      <c r="B673" s="302"/>
      <c r="C673" s="302"/>
      <c r="D673" s="302"/>
      <c r="E673" s="302"/>
      <c r="F673" s="302"/>
      <c r="G673" s="302"/>
      <c r="H673" s="302"/>
      <c r="I673" s="302"/>
      <c r="J673" s="302"/>
      <c r="K673" s="302"/>
      <c r="L673" s="302"/>
      <c r="M673" s="302"/>
      <c r="N673" s="302"/>
      <c r="O673" s="302"/>
      <c r="P673" s="302"/>
      <c r="Q673" s="302"/>
      <c r="R673" s="302"/>
      <c r="S673" s="302"/>
      <c r="T673" s="413"/>
      <c r="U673" s="302"/>
      <c r="V673" s="302"/>
      <c r="W673" s="302"/>
      <c r="X673" s="302"/>
      <c r="Y673" s="302"/>
      <c r="Z673" s="302"/>
      <c r="AA673" s="302"/>
    </row>
    <row r="674" spans="1:27" ht="16" x14ac:dyDescent="0.2">
      <c r="A674" s="302"/>
      <c r="B674" s="302"/>
      <c r="C674" s="302"/>
      <c r="D674" s="302"/>
      <c r="E674" s="302"/>
      <c r="F674" s="302"/>
      <c r="G674" s="302"/>
      <c r="H674" s="302"/>
      <c r="I674" s="302"/>
      <c r="J674" s="302"/>
      <c r="K674" s="302"/>
      <c r="L674" s="302"/>
      <c r="M674" s="302"/>
      <c r="N674" s="302"/>
      <c r="O674" s="302"/>
      <c r="P674" s="302"/>
      <c r="Q674" s="302"/>
      <c r="R674" s="302"/>
      <c r="S674" s="302"/>
      <c r="T674" s="413"/>
      <c r="U674" s="302"/>
      <c r="V674" s="302"/>
      <c r="W674" s="302"/>
      <c r="X674" s="302"/>
      <c r="Y674" s="302"/>
      <c r="Z674" s="302"/>
      <c r="AA674" s="302"/>
    </row>
    <row r="675" spans="1:27" ht="16" x14ac:dyDescent="0.2">
      <c r="A675" s="302"/>
      <c r="B675" s="302"/>
      <c r="C675" s="302"/>
      <c r="D675" s="302"/>
      <c r="E675" s="302"/>
      <c r="F675" s="302"/>
      <c r="G675" s="302"/>
      <c r="H675" s="302"/>
      <c r="I675" s="302"/>
      <c r="J675" s="302"/>
      <c r="K675" s="302"/>
      <c r="L675" s="302"/>
      <c r="M675" s="302"/>
      <c r="N675" s="302"/>
      <c r="O675" s="302"/>
      <c r="P675" s="302"/>
      <c r="Q675" s="302"/>
      <c r="R675" s="302"/>
      <c r="S675" s="302"/>
      <c r="T675" s="413"/>
      <c r="U675" s="302"/>
      <c r="V675" s="302"/>
      <c r="W675" s="302"/>
      <c r="X675" s="302"/>
      <c r="Y675" s="302"/>
      <c r="Z675" s="302"/>
      <c r="AA675" s="302"/>
    </row>
    <row r="676" spans="1:27" ht="16" x14ac:dyDescent="0.2">
      <c r="A676" s="302"/>
      <c r="B676" s="302"/>
      <c r="C676" s="302"/>
      <c r="D676" s="302"/>
      <c r="E676" s="302"/>
      <c r="F676" s="302"/>
      <c r="G676" s="302"/>
      <c r="H676" s="302"/>
      <c r="I676" s="302"/>
      <c r="J676" s="302"/>
      <c r="K676" s="302"/>
      <c r="L676" s="302"/>
      <c r="M676" s="302"/>
      <c r="N676" s="302"/>
      <c r="O676" s="302"/>
      <c r="P676" s="302"/>
      <c r="Q676" s="302"/>
      <c r="R676" s="302"/>
      <c r="S676" s="302"/>
      <c r="T676" s="413"/>
      <c r="U676" s="302"/>
      <c r="V676" s="302"/>
      <c r="W676" s="302"/>
      <c r="X676" s="302"/>
      <c r="Y676" s="302"/>
      <c r="Z676" s="302"/>
      <c r="AA676" s="302"/>
    </row>
    <row r="677" spans="1:27" ht="16" x14ac:dyDescent="0.2">
      <c r="A677" s="302"/>
      <c r="B677" s="302"/>
      <c r="C677" s="302"/>
      <c r="D677" s="302"/>
      <c r="E677" s="302"/>
      <c r="F677" s="302"/>
      <c r="G677" s="302"/>
      <c r="H677" s="302"/>
      <c r="I677" s="302"/>
      <c r="J677" s="302"/>
      <c r="K677" s="302"/>
      <c r="L677" s="302"/>
      <c r="M677" s="302"/>
      <c r="N677" s="302"/>
      <c r="O677" s="302"/>
      <c r="P677" s="302"/>
      <c r="Q677" s="302"/>
      <c r="R677" s="302"/>
      <c r="S677" s="302"/>
      <c r="T677" s="413"/>
      <c r="U677" s="302"/>
      <c r="V677" s="302"/>
      <c r="W677" s="302"/>
      <c r="X677" s="302"/>
      <c r="Y677" s="302"/>
      <c r="Z677" s="302"/>
      <c r="AA677" s="302"/>
    </row>
    <row r="678" spans="1:27" ht="16" x14ac:dyDescent="0.2">
      <c r="A678" s="302"/>
      <c r="B678" s="302"/>
      <c r="C678" s="302"/>
      <c r="D678" s="302"/>
      <c r="E678" s="302"/>
      <c r="F678" s="302"/>
      <c r="G678" s="302"/>
      <c r="H678" s="302"/>
      <c r="I678" s="302"/>
      <c r="J678" s="302"/>
      <c r="K678" s="302"/>
      <c r="L678" s="302"/>
      <c r="M678" s="302"/>
      <c r="N678" s="302"/>
      <c r="O678" s="302"/>
      <c r="P678" s="302"/>
      <c r="Q678" s="302"/>
      <c r="R678" s="302"/>
      <c r="S678" s="302"/>
      <c r="T678" s="413"/>
      <c r="U678" s="302"/>
      <c r="V678" s="302"/>
      <c r="W678" s="302"/>
      <c r="X678" s="302"/>
      <c r="Y678" s="302"/>
      <c r="Z678" s="302"/>
      <c r="AA678" s="302"/>
    </row>
    <row r="679" spans="1:27" ht="16" x14ac:dyDescent="0.2">
      <c r="A679" s="302"/>
      <c r="B679" s="302"/>
      <c r="C679" s="302"/>
      <c r="D679" s="302"/>
      <c r="E679" s="302"/>
      <c r="F679" s="302"/>
      <c r="G679" s="302"/>
      <c r="H679" s="302"/>
      <c r="I679" s="302"/>
      <c r="J679" s="302"/>
      <c r="K679" s="302"/>
      <c r="L679" s="302"/>
      <c r="M679" s="302"/>
      <c r="N679" s="302"/>
      <c r="O679" s="302"/>
      <c r="P679" s="302"/>
      <c r="Q679" s="302"/>
      <c r="R679" s="302"/>
      <c r="S679" s="302"/>
      <c r="T679" s="413"/>
      <c r="U679" s="302"/>
      <c r="V679" s="302"/>
      <c r="W679" s="302"/>
      <c r="X679" s="302"/>
      <c r="Y679" s="302"/>
      <c r="Z679" s="302"/>
      <c r="AA679" s="302"/>
    </row>
    <row r="680" spans="1:27" ht="16" x14ac:dyDescent="0.2">
      <c r="A680" s="302"/>
      <c r="B680" s="302"/>
      <c r="C680" s="302"/>
      <c r="D680" s="302"/>
      <c r="E680" s="302"/>
      <c r="F680" s="302"/>
      <c r="G680" s="302"/>
      <c r="H680" s="302"/>
      <c r="I680" s="302"/>
      <c r="J680" s="302"/>
      <c r="K680" s="302"/>
      <c r="L680" s="302"/>
      <c r="M680" s="302"/>
      <c r="N680" s="302"/>
      <c r="O680" s="302"/>
      <c r="P680" s="302"/>
      <c r="Q680" s="302"/>
      <c r="R680" s="302"/>
      <c r="S680" s="302"/>
      <c r="T680" s="413"/>
      <c r="U680" s="302"/>
      <c r="V680" s="302"/>
      <c r="W680" s="302"/>
      <c r="X680" s="302"/>
      <c r="Y680" s="302"/>
      <c r="Z680" s="302"/>
      <c r="AA680" s="302"/>
    </row>
    <row r="681" spans="1:27" ht="16" x14ac:dyDescent="0.2">
      <c r="A681" s="302"/>
      <c r="B681" s="302"/>
      <c r="C681" s="302"/>
      <c r="D681" s="302"/>
      <c r="E681" s="302"/>
      <c r="F681" s="302"/>
      <c r="G681" s="302"/>
      <c r="H681" s="302"/>
      <c r="I681" s="302"/>
      <c r="J681" s="302"/>
      <c r="K681" s="302"/>
      <c r="L681" s="302"/>
      <c r="M681" s="302"/>
      <c r="N681" s="302"/>
      <c r="O681" s="302"/>
      <c r="P681" s="302"/>
      <c r="Q681" s="302"/>
      <c r="R681" s="302"/>
      <c r="S681" s="302"/>
      <c r="T681" s="413"/>
      <c r="U681" s="302"/>
      <c r="V681" s="302"/>
      <c r="W681" s="302"/>
      <c r="X681" s="302"/>
      <c r="Y681" s="302"/>
      <c r="Z681" s="302"/>
      <c r="AA681" s="302"/>
    </row>
    <row r="682" spans="1:27" ht="16" x14ac:dyDescent="0.2">
      <c r="A682" s="302"/>
      <c r="B682" s="302"/>
      <c r="C682" s="302"/>
      <c r="D682" s="302"/>
      <c r="E682" s="302"/>
      <c r="F682" s="302"/>
      <c r="G682" s="302"/>
      <c r="H682" s="302"/>
      <c r="I682" s="302"/>
      <c r="J682" s="302"/>
      <c r="K682" s="302"/>
      <c r="L682" s="302"/>
      <c r="M682" s="302"/>
      <c r="N682" s="302"/>
      <c r="O682" s="302"/>
      <c r="P682" s="302"/>
      <c r="Q682" s="302"/>
      <c r="R682" s="302"/>
      <c r="S682" s="302"/>
      <c r="T682" s="413"/>
      <c r="U682" s="302"/>
      <c r="V682" s="302"/>
      <c r="W682" s="302"/>
      <c r="X682" s="302"/>
      <c r="Y682" s="302"/>
      <c r="Z682" s="302"/>
      <c r="AA682" s="302"/>
    </row>
    <row r="683" spans="1:27" ht="16" x14ac:dyDescent="0.2">
      <c r="A683" s="302"/>
      <c r="B683" s="302"/>
      <c r="C683" s="302"/>
      <c r="D683" s="302"/>
      <c r="E683" s="302"/>
      <c r="F683" s="302"/>
      <c r="G683" s="302"/>
      <c r="H683" s="302"/>
      <c r="I683" s="302"/>
      <c r="J683" s="302"/>
      <c r="K683" s="302"/>
      <c r="L683" s="302"/>
      <c r="M683" s="302"/>
      <c r="N683" s="302"/>
      <c r="O683" s="302"/>
      <c r="P683" s="302"/>
      <c r="Q683" s="302"/>
      <c r="R683" s="302"/>
      <c r="S683" s="302"/>
      <c r="T683" s="413"/>
      <c r="U683" s="302"/>
      <c r="V683" s="302"/>
      <c r="W683" s="302"/>
      <c r="X683" s="302"/>
      <c r="Y683" s="302"/>
      <c r="Z683" s="302"/>
      <c r="AA683" s="302"/>
    </row>
    <row r="684" spans="1:27" ht="16" x14ac:dyDescent="0.2">
      <c r="A684" s="302"/>
      <c r="B684" s="302"/>
      <c r="C684" s="302"/>
      <c r="D684" s="302"/>
      <c r="E684" s="302"/>
      <c r="F684" s="302"/>
      <c r="G684" s="302"/>
      <c r="H684" s="302"/>
      <c r="I684" s="302"/>
      <c r="J684" s="302"/>
      <c r="K684" s="302"/>
      <c r="L684" s="302"/>
      <c r="M684" s="302"/>
      <c r="N684" s="302"/>
      <c r="O684" s="302"/>
      <c r="P684" s="302"/>
      <c r="Q684" s="302"/>
      <c r="R684" s="302"/>
      <c r="S684" s="302"/>
      <c r="T684" s="413"/>
      <c r="U684" s="302"/>
      <c r="V684" s="302"/>
      <c r="W684" s="302"/>
      <c r="X684" s="302"/>
      <c r="Y684" s="302"/>
      <c r="Z684" s="302"/>
      <c r="AA684" s="302"/>
    </row>
    <row r="685" spans="1:27" ht="16" x14ac:dyDescent="0.2">
      <c r="A685" s="302"/>
      <c r="B685" s="302"/>
      <c r="C685" s="302"/>
      <c r="D685" s="302"/>
      <c r="E685" s="302"/>
      <c r="F685" s="302"/>
      <c r="G685" s="302"/>
      <c r="H685" s="302"/>
      <c r="I685" s="302"/>
      <c r="J685" s="302"/>
      <c r="K685" s="302"/>
      <c r="L685" s="302"/>
      <c r="M685" s="302"/>
      <c r="N685" s="302"/>
      <c r="O685" s="302"/>
      <c r="P685" s="302"/>
      <c r="Q685" s="302"/>
      <c r="R685" s="302"/>
      <c r="S685" s="302"/>
      <c r="T685" s="413"/>
      <c r="U685" s="302"/>
      <c r="V685" s="302"/>
      <c r="W685" s="302"/>
      <c r="X685" s="302"/>
      <c r="Y685" s="302"/>
      <c r="Z685" s="302"/>
      <c r="AA685" s="302"/>
    </row>
    <row r="686" spans="1:27" ht="16" x14ac:dyDescent="0.2">
      <c r="A686" s="302"/>
      <c r="B686" s="302"/>
      <c r="C686" s="302"/>
      <c r="D686" s="302"/>
      <c r="E686" s="302"/>
      <c r="F686" s="302"/>
      <c r="G686" s="302"/>
      <c r="H686" s="302"/>
      <c r="I686" s="302"/>
      <c r="J686" s="302"/>
      <c r="K686" s="302"/>
      <c r="L686" s="302"/>
      <c r="M686" s="302"/>
      <c r="N686" s="302"/>
      <c r="O686" s="302"/>
      <c r="P686" s="302"/>
      <c r="Q686" s="302"/>
      <c r="R686" s="302"/>
      <c r="S686" s="302"/>
      <c r="T686" s="413"/>
      <c r="U686" s="302"/>
      <c r="V686" s="302"/>
      <c r="W686" s="302"/>
      <c r="X686" s="302"/>
      <c r="Y686" s="302"/>
      <c r="Z686" s="302"/>
      <c r="AA686" s="302"/>
    </row>
    <row r="687" spans="1:27" ht="16" x14ac:dyDescent="0.2">
      <c r="A687" s="302"/>
      <c r="B687" s="302"/>
      <c r="C687" s="302"/>
      <c r="D687" s="302"/>
      <c r="E687" s="302"/>
      <c r="F687" s="302"/>
      <c r="G687" s="302"/>
      <c r="H687" s="302"/>
      <c r="I687" s="302"/>
      <c r="J687" s="302"/>
      <c r="K687" s="302"/>
      <c r="L687" s="302"/>
      <c r="M687" s="302"/>
      <c r="N687" s="302"/>
      <c r="O687" s="302"/>
      <c r="P687" s="302"/>
      <c r="Q687" s="302"/>
      <c r="R687" s="302"/>
      <c r="S687" s="302"/>
      <c r="T687" s="413"/>
      <c r="U687" s="302"/>
      <c r="V687" s="302"/>
      <c r="W687" s="302"/>
      <c r="X687" s="302"/>
      <c r="Y687" s="302"/>
      <c r="Z687" s="302"/>
      <c r="AA687" s="302"/>
    </row>
    <row r="688" spans="1:27" ht="16" x14ac:dyDescent="0.2">
      <c r="A688" s="302"/>
      <c r="B688" s="302"/>
      <c r="C688" s="302"/>
      <c r="D688" s="302"/>
      <c r="E688" s="302"/>
      <c r="F688" s="302"/>
      <c r="G688" s="302"/>
      <c r="H688" s="302"/>
      <c r="I688" s="302"/>
      <c r="J688" s="302"/>
      <c r="K688" s="302"/>
      <c r="L688" s="302"/>
      <c r="M688" s="302"/>
      <c r="N688" s="302"/>
      <c r="O688" s="302"/>
      <c r="P688" s="302"/>
      <c r="Q688" s="302"/>
      <c r="R688" s="302"/>
      <c r="S688" s="302"/>
      <c r="T688" s="413"/>
      <c r="U688" s="302"/>
      <c r="V688" s="302"/>
      <c r="W688" s="302"/>
      <c r="X688" s="302"/>
      <c r="Y688" s="302"/>
      <c r="Z688" s="302"/>
      <c r="AA688" s="302"/>
    </row>
    <row r="689" spans="1:27" ht="16" x14ac:dyDescent="0.2">
      <c r="A689" s="302"/>
      <c r="B689" s="302"/>
      <c r="C689" s="302"/>
      <c r="D689" s="302"/>
      <c r="E689" s="302"/>
      <c r="F689" s="302"/>
      <c r="G689" s="302"/>
      <c r="H689" s="302"/>
      <c r="I689" s="302"/>
      <c r="J689" s="302"/>
      <c r="K689" s="302"/>
      <c r="L689" s="302"/>
      <c r="M689" s="302"/>
      <c r="N689" s="302"/>
      <c r="O689" s="302"/>
      <c r="P689" s="302"/>
      <c r="Q689" s="302"/>
      <c r="R689" s="302"/>
      <c r="S689" s="302"/>
      <c r="T689" s="413"/>
      <c r="U689" s="302"/>
      <c r="V689" s="302"/>
      <c r="W689" s="302"/>
      <c r="X689" s="302"/>
      <c r="Y689" s="302"/>
      <c r="Z689" s="302"/>
      <c r="AA689" s="302"/>
    </row>
    <row r="690" spans="1:27" ht="16" x14ac:dyDescent="0.2">
      <c r="A690" s="302"/>
      <c r="B690" s="302"/>
      <c r="C690" s="302"/>
      <c r="D690" s="302"/>
      <c r="E690" s="302"/>
      <c r="F690" s="302"/>
      <c r="G690" s="302"/>
      <c r="H690" s="302"/>
      <c r="I690" s="302"/>
      <c r="J690" s="302"/>
      <c r="K690" s="302"/>
      <c r="L690" s="302"/>
      <c r="M690" s="302"/>
      <c r="N690" s="302"/>
      <c r="O690" s="302"/>
      <c r="P690" s="302"/>
      <c r="Q690" s="302"/>
      <c r="R690" s="302"/>
      <c r="S690" s="302"/>
      <c r="T690" s="413"/>
      <c r="U690" s="302"/>
      <c r="V690" s="302"/>
      <c r="W690" s="302"/>
      <c r="X690" s="302"/>
      <c r="Y690" s="302"/>
      <c r="Z690" s="302"/>
      <c r="AA690" s="302"/>
    </row>
    <row r="691" spans="1:27" ht="16" x14ac:dyDescent="0.2">
      <c r="A691" s="302"/>
      <c r="B691" s="302"/>
      <c r="C691" s="302"/>
      <c r="D691" s="302"/>
      <c r="E691" s="302"/>
      <c r="F691" s="302"/>
      <c r="G691" s="302"/>
      <c r="H691" s="302"/>
      <c r="I691" s="302"/>
      <c r="J691" s="302"/>
      <c r="K691" s="302"/>
      <c r="L691" s="302"/>
      <c r="M691" s="302"/>
      <c r="N691" s="302"/>
      <c r="O691" s="302"/>
      <c r="P691" s="302"/>
      <c r="Q691" s="302"/>
      <c r="R691" s="302"/>
      <c r="S691" s="302"/>
      <c r="T691" s="413"/>
      <c r="U691" s="302"/>
      <c r="V691" s="302"/>
      <c r="W691" s="302"/>
      <c r="X691" s="302"/>
      <c r="Y691" s="302"/>
      <c r="Z691" s="302"/>
      <c r="AA691" s="302"/>
    </row>
    <row r="692" spans="1:27" ht="16" x14ac:dyDescent="0.2">
      <c r="A692" s="302"/>
      <c r="B692" s="302"/>
      <c r="C692" s="302"/>
      <c r="D692" s="302"/>
      <c r="E692" s="302"/>
      <c r="F692" s="302"/>
      <c r="G692" s="302"/>
      <c r="H692" s="302"/>
      <c r="I692" s="302"/>
      <c r="J692" s="302"/>
      <c r="K692" s="302"/>
      <c r="L692" s="302"/>
      <c r="M692" s="302"/>
      <c r="N692" s="302"/>
      <c r="O692" s="302"/>
      <c r="P692" s="302"/>
      <c r="Q692" s="302"/>
      <c r="R692" s="302"/>
      <c r="S692" s="302"/>
      <c r="T692" s="413"/>
      <c r="U692" s="302"/>
      <c r="V692" s="302"/>
      <c r="W692" s="302"/>
      <c r="X692" s="302"/>
      <c r="Y692" s="302"/>
      <c r="Z692" s="302"/>
      <c r="AA692" s="302"/>
    </row>
    <row r="693" spans="1:27" ht="16" x14ac:dyDescent="0.2">
      <c r="A693" s="302"/>
      <c r="B693" s="302"/>
      <c r="C693" s="302"/>
      <c r="D693" s="302"/>
      <c r="E693" s="302"/>
      <c r="F693" s="302"/>
      <c r="G693" s="302"/>
      <c r="H693" s="302"/>
      <c r="I693" s="302"/>
      <c r="J693" s="302"/>
      <c r="K693" s="302"/>
      <c r="L693" s="302"/>
      <c r="M693" s="302"/>
      <c r="N693" s="302"/>
      <c r="O693" s="302"/>
      <c r="P693" s="302"/>
      <c r="Q693" s="302"/>
      <c r="R693" s="302"/>
      <c r="S693" s="302"/>
      <c r="T693" s="413"/>
      <c r="U693" s="302"/>
      <c r="V693" s="302"/>
      <c r="W693" s="302"/>
      <c r="X693" s="302"/>
      <c r="Y693" s="302"/>
      <c r="Z693" s="302"/>
      <c r="AA693" s="302"/>
    </row>
    <row r="694" spans="1:27" ht="16" x14ac:dyDescent="0.2">
      <c r="A694" s="302"/>
      <c r="B694" s="302"/>
      <c r="C694" s="302"/>
      <c r="D694" s="302"/>
      <c r="E694" s="302"/>
      <c r="F694" s="302"/>
      <c r="G694" s="302"/>
      <c r="H694" s="302"/>
      <c r="I694" s="302"/>
      <c r="J694" s="302"/>
      <c r="K694" s="302"/>
      <c r="L694" s="302"/>
      <c r="M694" s="302"/>
      <c r="N694" s="302"/>
      <c r="O694" s="302"/>
      <c r="P694" s="302"/>
      <c r="Q694" s="302"/>
      <c r="R694" s="302"/>
      <c r="S694" s="302"/>
      <c r="T694" s="413"/>
      <c r="U694" s="302"/>
      <c r="V694" s="302"/>
      <c r="W694" s="302"/>
      <c r="X694" s="302"/>
      <c r="Y694" s="302"/>
      <c r="Z694" s="302"/>
      <c r="AA694" s="302"/>
    </row>
    <row r="695" spans="1:27" ht="16" x14ac:dyDescent="0.2">
      <c r="A695" s="302"/>
      <c r="B695" s="302"/>
      <c r="C695" s="302"/>
      <c r="D695" s="302"/>
      <c r="E695" s="302"/>
      <c r="F695" s="302"/>
      <c r="G695" s="302"/>
      <c r="H695" s="302"/>
      <c r="I695" s="302"/>
      <c r="J695" s="302"/>
      <c r="K695" s="302"/>
      <c r="L695" s="302"/>
      <c r="M695" s="302"/>
      <c r="N695" s="302"/>
      <c r="O695" s="302"/>
      <c r="P695" s="302"/>
      <c r="Q695" s="302"/>
      <c r="R695" s="302"/>
      <c r="S695" s="302"/>
      <c r="T695" s="413"/>
      <c r="U695" s="302"/>
      <c r="V695" s="302"/>
      <c r="W695" s="302"/>
      <c r="X695" s="302"/>
      <c r="Y695" s="302"/>
      <c r="Z695" s="302"/>
      <c r="AA695" s="302"/>
    </row>
    <row r="696" spans="1:27" ht="16" x14ac:dyDescent="0.2">
      <c r="A696" s="302"/>
      <c r="B696" s="302"/>
      <c r="C696" s="302"/>
      <c r="D696" s="302"/>
      <c r="E696" s="302"/>
      <c r="F696" s="302"/>
      <c r="G696" s="302"/>
      <c r="H696" s="302"/>
      <c r="I696" s="302"/>
      <c r="J696" s="302"/>
      <c r="K696" s="302"/>
      <c r="L696" s="302"/>
      <c r="M696" s="302"/>
      <c r="N696" s="302"/>
      <c r="O696" s="302"/>
      <c r="P696" s="302"/>
      <c r="Q696" s="302"/>
      <c r="R696" s="302"/>
      <c r="S696" s="302"/>
      <c r="T696" s="413"/>
      <c r="U696" s="302"/>
      <c r="V696" s="302"/>
      <c r="W696" s="302"/>
      <c r="X696" s="302"/>
      <c r="Y696" s="302"/>
      <c r="Z696" s="302"/>
      <c r="AA696" s="302"/>
    </row>
    <row r="697" spans="1:27" ht="16" x14ac:dyDescent="0.2">
      <c r="A697" s="302"/>
      <c r="B697" s="302"/>
      <c r="C697" s="302"/>
      <c r="D697" s="302"/>
      <c r="E697" s="302"/>
      <c r="F697" s="302"/>
      <c r="G697" s="302"/>
      <c r="H697" s="302"/>
      <c r="I697" s="302"/>
      <c r="J697" s="302"/>
      <c r="K697" s="302"/>
      <c r="L697" s="302"/>
      <c r="M697" s="302"/>
      <c r="N697" s="302"/>
      <c r="O697" s="302"/>
      <c r="P697" s="302"/>
      <c r="Q697" s="302"/>
      <c r="R697" s="302"/>
      <c r="S697" s="302"/>
      <c r="T697" s="413"/>
      <c r="U697" s="302"/>
      <c r="V697" s="302"/>
      <c r="W697" s="302"/>
      <c r="X697" s="302"/>
      <c r="Y697" s="302"/>
      <c r="Z697" s="302"/>
      <c r="AA697" s="302"/>
    </row>
    <row r="698" spans="1:27" ht="16" x14ac:dyDescent="0.2">
      <c r="A698" s="302"/>
      <c r="B698" s="302"/>
      <c r="C698" s="302"/>
      <c r="D698" s="302"/>
      <c r="E698" s="302"/>
      <c r="F698" s="302"/>
      <c r="G698" s="302"/>
      <c r="H698" s="302"/>
      <c r="I698" s="302"/>
      <c r="J698" s="302"/>
      <c r="K698" s="302"/>
      <c r="L698" s="302"/>
      <c r="M698" s="302"/>
      <c r="N698" s="302"/>
      <c r="O698" s="302"/>
      <c r="P698" s="302"/>
      <c r="Q698" s="302"/>
      <c r="R698" s="302"/>
      <c r="S698" s="302"/>
      <c r="T698" s="413"/>
      <c r="U698" s="302"/>
      <c r="V698" s="302"/>
      <c r="W698" s="302"/>
      <c r="X698" s="302"/>
      <c r="Y698" s="302"/>
      <c r="Z698" s="302"/>
      <c r="AA698" s="302"/>
    </row>
    <row r="699" spans="1:27" ht="16" x14ac:dyDescent="0.2">
      <c r="A699" s="302"/>
      <c r="B699" s="302"/>
      <c r="C699" s="302"/>
      <c r="D699" s="302"/>
      <c r="E699" s="302"/>
      <c r="F699" s="302"/>
      <c r="G699" s="302"/>
      <c r="H699" s="302"/>
      <c r="I699" s="302"/>
      <c r="J699" s="302"/>
      <c r="K699" s="302"/>
      <c r="L699" s="302"/>
      <c r="M699" s="302"/>
      <c r="N699" s="302"/>
      <c r="O699" s="302"/>
      <c r="P699" s="302"/>
      <c r="Q699" s="302"/>
      <c r="R699" s="302"/>
      <c r="S699" s="302"/>
      <c r="T699" s="413"/>
      <c r="U699" s="302"/>
      <c r="V699" s="302"/>
      <c r="W699" s="302"/>
      <c r="X699" s="302"/>
      <c r="Y699" s="302"/>
      <c r="Z699" s="302"/>
      <c r="AA699" s="302"/>
    </row>
    <row r="700" spans="1:27" ht="16" x14ac:dyDescent="0.2">
      <c r="A700" s="302"/>
      <c r="B700" s="302"/>
      <c r="C700" s="302"/>
      <c r="D700" s="302"/>
      <c r="E700" s="302"/>
      <c r="F700" s="302"/>
      <c r="G700" s="302"/>
      <c r="H700" s="302"/>
      <c r="I700" s="302"/>
      <c r="J700" s="302"/>
      <c r="K700" s="302"/>
      <c r="L700" s="302"/>
      <c r="M700" s="302"/>
      <c r="N700" s="302"/>
      <c r="O700" s="302"/>
      <c r="P700" s="302"/>
      <c r="Q700" s="302"/>
      <c r="R700" s="302"/>
      <c r="S700" s="302"/>
      <c r="T700" s="413"/>
      <c r="U700" s="302"/>
      <c r="V700" s="302"/>
      <c r="W700" s="302"/>
      <c r="X700" s="302"/>
      <c r="Y700" s="302"/>
      <c r="Z700" s="302"/>
      <c r="AA700" s="302"/>
    </row>
    <row r="701" spans="1:27" ht="16" x14ac:dyDescent="0.2">
      <c r="A701" s="302"/>
      <c r="B701" s="302"/>
      <c r="C701" s="302"/>
      <c r="D701" s="302"/>
      <c r="E701" s="302"/>
      <c r="F701" s="302"/>
      <c r="G701" s="302"/>
      <c r="H701" s="302"/>
      <c r="I701" s="302"/>
      <c r="J701" s="302"/>
      <c r="K701" s="302"/>
      <c r="L701" s="302"/>
      <c r="M701" s="302"/>
      <c r="N701" s="302"/>
      <c r="O701" s="302"/>
      <c r="P701" s="302"/>
      <c r="Q701" s="302"/>
      <c r="R701" s="302"/>
      <c r="S701" s="302"/>
      <c r="T701" s="413"/>
      <c r="U701" s="302"/>
      <c r="V701" s="302"/>
      <c r="W701" s="302"/>
      <c r="X701" s="302"/>
      <c r="Y701" s="302"/>
      <c r="Z701" s="302"/>
      <c r="AA701" s="302"/>
    </row>
    <row r="702" spans="1:27" ht="16" x14ac:dyDescent="0.2">
      <c r="A702" s="302"/>
      <c r="B702" s="302"/>
      <c r="C702" s="302"/>
      <c r="D702" s="302"/>
      <c r="E702" s="302"/>
      <c r="F702" s="302"/>
      <c r="G702" s="302"/>
      <c r="H702" s="302"/>
      <c r="I702" s="302"/>
      <c r="J702" s="302"/>
      <c r="K702" s="302"/>
      <c r="L702" s="302"/>
      <c r="M702" s="302"/>
      <c r="N702" s="302"/>
      <c r="O702" s="302"/>
      <c r="P702" s="302"/>
      <c r="Q702" s="302"/>
      <c r="R702" s="302"/>
      <c r="S702" s="302"/>
      <c r="T702" s="413"/>
      <c r="U702" s="302"/>
      <c r="V702" s="302"/>
      <c r="W702" s="302"/>
      <c r="X702" s="302"/>
      <c r="Y702" s="302"/>
      <c r="Z702" s="302"/>
      <c r="AA702" s="302"/>
    </row>
    <row r="703" spans="1:27" ht="16" x14ac:dyDescent="0.2">
      <c r="A703" s="302"/>
      <c r="B703" s="302"/>
      <c r="C703" s="302"/>
      <c r="D703" s="302"/>
      <c r="E703" s="302"/>
      <c r="F703" s="302"/>
      <c r="G703" s="302"/>
      <c r="H703" s="302"/>
      <c r="I703" s="302"/>
      <c r="J703" s="302"/>
      <c r="K703" s="302"/>
      <c r="L703" s="302"/>
      <c r="M703" s="302"/>
      <c r="N703" s="302"/>
      <c r="O703" s="302"/>
      <c r="P703" s="302"/>
      <c r="Q703" s="302"/>
      <c r="R703" s="302"/>
      <c r="S703" s="302"/>
      <c r="T703" s="413"/>
      <c r="U703" s="302"/>
      <c r="V703" s="302"/>
      <c r="W703" s="302"/>
      <c r="X703" s="302"/>
      <c r="Y703" s="302"/>
      <c r="Z703" s="302"/>
      <c r="AA703" s="302"/>
    </row>
    <row r="704" spans="1:27" ht="16" x14ac:dyDescent="0.2">
      <c r="A704" s="302"/>
      <c r="B704" s="302"/>
      <c r="C704" s="302"/>
      <c r="D704" s="302"/>
      <c r="E704" s="302"/>
      <c r="F704" s="302"/>
      <c r="G704" s="302"/>
      <c r="H704" s="302"/>
      <c r="I704" s="302"/>
      <c r="J704" s="302"/>
      <c r="K704" s="302"/>
      <c r="L704" s="302"/>
      <c r="M704" s="302"/>
      <c r="N704" s="302"/>
      <c r="O704" s="302"/>
      <c r="P704" s="302"/>
      <c r="Q704" s="302"/>
      <c r="R704" s="302"/>
      <c r="S704" s="302"/>
      <c r="T704" s="413"/>
      <c r="U704" s="302"/>
      <c r="V704" s="302"/>
      <c r="W704" s="302"/>
      <c r="X704" s="302"/>
      <c r="Y704" s="302"/>
      <c r="Z704" s="302"/>
      <c r="AA704" s="302"/>
    </row>
    <row r="705" spans="1:27" ht="16" x14ac:dyDescent="0.2">
      <c r="A705" s="302"/>
      <c r="B705" s="302"/>
      <c r="C705" s="302"/>
      <c r="D705" s="302"/>
      <c r="E705" s="302"/>
      <c r="F705" s="302"/>
      <c r="G705" s="302"/>
      <c r="H705" s="302"/>
      <c r="I705" s="302"/>
      <c r="J705" s="302"/>
      <c r="K705" s="302"/>
      <c r="L705" s="302"/>
      <c r="M705" s="302"/>
      <c r="N705" s="302"/>
      <c r="O705" s="302"/>
      <c r="P705" s="302"/>
      <c r="Q705" s="302"/>
      <c r="R705" s="302"/>
      <c r="S705" s="302"/>
      <c r="T705" s="413"/>
      <c r="U705" s="302"/>
      <c r="V705" s="302"/>
      <c r="W705" s="302"/>
      <c r="X705" s="302"/>
      <c r="Y705" s="302"/>
      <c r="Z705" s="302"/>
      <c r="AA705" s="302"/>
    </row>
    <row r="706" spans="1:27" ht="16" x14ac:dyDescent="0.2">
      <c r="A706" s="302"/>
      <c r="B706" s="302"/>
      <c r="C706" s="302"/>
      <c r="D706" s="302"/>
      <c r="E706" s="302"/>
      <c r="F706" s="302"/>
      <c r="G706" s="302"/>
      <c r="H706" s="302"/>
      <c r="I706" s="302"/>
      <c r="J706" s="302"/>
      <c r="K706" s="302"/>
      <c r="L706" s="302"/>
      <c r="M706" s="302"/>
      <c r="N706" s="302"/>
      <c r="O706" s="302"/>
      <c r="P706" s="302"/>
      <c r="Q706" s="302"/>
      <c r="R706" s="302"/>
      <c r="S706" s="302"/>
      <c r="T706" s="413"/>
      <c r="U706" s="302"/>
      <c r="V706" s="302"/>
      <c r="W706" s="302"/>
      <c r="X706" s="302"/>
      <c r="Y706" s="302"/>
      <c r="Z706" s="302"/>
      <c r="AA706" s="302"/>
    </row>
    <row r="707" spans="1:27" ht="16" x14ac:dyDescent="0.2">
      <c r="A707" s="302"/>
      <c r="B707" s="302"/>
      <c r="C707" s="302"/>
      <c r="D707" s="302"/>
      <c r="E707" s="302"/>
      <c r="F707" s="302"/>
      <c r="G707" s="302"/>
      <c r="H707" s="302"/>
      <c r="I707" s="302"/>
      <c r="J707" s="302"/>
      <c r="K707" s="302"/>
      <c r="L707" s="302"/>
      <c r="M707" s="302"/>
      <c r="N707" s="302"/>
      <c r="O707" s="302"/>
      <c r="P707" s="302"/>
      <c r="Q707" s="302"/>
      <c r="R707" s="302"/>
      <c r="S707" s="302"/>
      <c r="T707" s="413"/>
      <c r="U707" s="302"/>
      <c r="V707" s="302"/>
      <c r="W707" s="302"/>
      <c r="X707" s="302"/>
      <c r="Y707" s="302"/>
      <c r="Z707" s="302"/>
      <c r="AA707" s="302"/>
    </row>
    <row r="708" spans="1:27" ht="16" x14ac:dyDescent="0.2">
      <c r="A708" s="302"/>
      <c r="B708" s="302"/>
      <c r="C708" s="302"/>
      <c r="D708" s="302"/>
      <c r="E708" s="302"/>
      <c r="F708" s="302"/>
      <c r="G708" s="302"/>
      <c r="H708" s="302"/>
      <c r="I708" s="302"/>
      <c r="J708" s="302"/>
      <c r="K708" s="302"/>
      <c r="L708" s="302"/>
      <c r="M708" s="302"/>
      <c r="N708" s="302"/>
      <c r="O708" s="302"/>
      <c r="P708" s="302"/>
      <c r="Q708" s="302"/>
      <c r="R708" s="302"/>
      <c r="S708" s="302"/>
      <c r="T708" s="413"/>
      <c r="U708" s="302"/>
      <c r="V708" s="302"/>
      <c r="W708" s="302"/>
      <c r="X708" s="302"/>
      <c r="Y708" s="302"/>
      <c r="Z708" s="302"/>
      <c r="AA708" s="302"/>
    </row>
    <row r="709" spans="1:27" ht="16" x14ac:dyDescent="0.2">
      <c r="A709" s="302"/>
      <c r="B709" s="302"/>
      <c r="C709" s="302"/>
      <c r="D709" s="302"/>
      <c r="E709" s="302"/>
      <c r="F709" s="302"/>
      <c r="G709" s="302"/>
      <c r="H709" s="302"/>
      <c r="I709" s="302"/>
      <c r="J709" s="302"/>
      <c r="K709" s="302"/>
      <c r="L709" s="302"/>
      <c r="M709" s="302"/>
      <c r="N709" s="302"/>
      <c r="O709" s="302"/>
      <c r="P709" s="302"/>
      <c r="Q709" s="302"/>
      <c r="R709" s="302"/>
      <c r="S709" s="302"/>
      <c r="T709" s="413"/>
      <c r="U709" s="302"/>
      <c r="V709" s="302"/>
      <c r="W709" s="302"/>
      <c r="X709" s="302"/>
      <c r="Y709" s="302"/>
      <c r="Z709" s="302"/>
      <c r="AA709" s="302"/>
    </row>
    <row r="710" spans="1:27" ht="16" x14ac:dyDescent="0.2">
      <c r="A710" s="302"/>
      <c r="B710" s="302"/>
      <c r="C710" s="302"/>
      <c r="D710" s="302"/>
      <c r="E710" s="302"/>
      <c r="F710" s="302"/>
      <c r="G710" s="302"/>
      <c r="H710" s="302"/>
      <c r="I710" s="302"/>
      <c r="J710" s="302"/>
      <c r="K710" s="302"/>
      <c r="L710" s="302"/>
      <c r="M710" s="302"/>
      <c r="N710" s="302"/>
      <c r="O710" s="302"/>
      <c r="P710" s="302"/>
      <c r="Q710" s="302"/>
      <c r="R710" s="302"/>
      <c r="S710" s="302"/>
      <c r="T710" s="413"/>
      <c r="U710" s="302"/>
      <c r="V710" s="302"/>
      <c r="W710" s="302"/>
      <c r="X710" s="302"/>
      <c r="Y710" s="302"/>
      <c r="Z710" s="302"/>
      <c r="AA710" s="302"/>
    </row>
    <row r="711" spans="1:27" ht="16" x14ac:dyDescent="0.2">
      <c r="A711" s="302"/>
      <c r="B711" s="302"/>
      <c r="C711" s="302"/>
      <c r="D711" s="302"/>
      <c r="E711" s="302"/>
      <c r="F711" s="302"/>
      <c r="G711" s="302"/>
      <c r="H711" s="302"/>
      <c r="I711" s="302"/>
      <c r="J711" s="302"/>
      <c r="K711" s="302"/>
      <c r="L711" s="302"/>
      <c r="M711" s="302"/>
      <c r="N711" s="302"/>
      <c r="O711" s="302"/>
      <c r="P711" s="302"/>
      <c r="Q711" s="302"/>
      <c r="R711" s="302"/>
      <c r="S711" s="302"/>
      <c r="T711" s="413"/>
      <c r="U711" s="302"/>
      <c r="V711" s="302"/>
      <c r="W711" s="302"/>
      <c r="X711" s="302"/>
      <c r="Y711" s="302"/>
      <c r="Z711" s="302"/>
      <c r="AA711" s="302"/>
    </row>
    <row r="712" spans="1:27" ht="16" x14ac:dyDescent="0.2">
      <c r="A712" s="302"/>
      <c r="B712" s="302"/>
      <c r="C712" s="302"/>
      <c r="D712" s="302"/>
      <c r="E712" s="302"/>
      <c r="F712" s="302"/>
      <c r="G712" s="302"/>
      <c r="H712" s="302"/>
      <c r="I712" s="302"/>
      <c r="J712" s="302"/>
      <c r="K712" s="302"/>
      <c r="L712" s="302"/>
      <c r="M712" s="302"/>
      <c r="N712" s="302"/>
      <c r="O712" s="302"/>
      <c r="P712" s="302"/>
      <c r="Q712" s="302"/>
      <c r="R712" s="302"/>
      <c r="S712" s="302"/>
      <c r="T712" s="413"/>
      <c r="U712" s="302"/>
      <c r="V712" s="302"/>
      <c r="W712" s="302"/>
      <c r="X712" s="302"/>
      <c r="Y712" s="302"/>
      <c r="Z712" s="302"/>
      <c r="AA712" s="302"/>
    </row>
    <row r="713" spans="1:27" ht="16" x14ac:dyDescent="0.2">
      <c r="A713" s="302"/>
      <c r="B713" s="302"/>
      <c r="C713" s="302"/>
      <c r="D713" s="302"/>
      <c r="E713" s="302"/>
      <c r="F713" s="302"/>
      <c r="G713" s="302"/>
      <c r="H713" s="302"/>
      <c r="I713" s="302"/>
      <c r="J713" s="302"/>
      <c r="K713" s="302"/>
      <c r="L713" s="302"/>
      <c r="M713" s="302"/>
      <c r="N713" s="302"/>
      <c r="O713" s="302"/>
      <c r="P713" s="302"/>
      <c r="Q713" s="302"/>
      <c r="R713" s="302"/>
      <c r="S713" s="302"/>
      <c r="T713" s="413"/>
      <c r="U713" s="302"/>
      <c r="V713" s="302"/>
      <c r="W713" s="302"/>
      <c r="X713" s="302"/>
      <c r="Y713" s="302"/>
      <c r="Z713" s="302"/>
      <c r="AA713" s="302"/>
    </row>
    <row r="714" spans="1:27" ht="16" x14ac:dyDescent="0.2">
      <c r="A714" s="302"/>
      <c r="B714" s="302"/>
      <c r="C714" s="302"/>
      <c r="D714" s="302"/>
      <c r="E714" s="302"/>
      <c r="F714" s="302"/>
      <c r="G714" s="302"/>
      <c r="H714" s="302"/>
      <c r="I714" s="302"/>
      <c r="J714" s="302"/>
      <c r="K714" s="302"/>
      <c r="L714" s="302"/>
      <c r="M714" s="302"/>
      <c r="N714" s="302"/>
      <c r="O714" s="302"/>
      <c r="P714" s="302"/>
      <c r="Q714" s="302"/>
      <c r="R714" s="302"/>
      <c r="S714" s="302"/>
      <c r="T714" s="413"/>
      <c r="U714" s="302"/>
      <c r="V714" s="302"/>
      <c r="W714" s="302"/>
      <c r="X714" s="302"/>
      <c r="Y714" s="302"/>
      <c r="Z714" s="302"/>
      <c r="AA714" s="302"/>
    </row>
    <row r="715" spans="1:27" ht="16" x14ac:dyDescent="0.2">
      <c r="A715" s="302"/>
      <c r="B715" s="302"/>
      <c r="C715" s="302"/>
      <c r="D715" s="302"/>
      <c r="E715" s="302"/>
      <c r="F715" s="302"/>
      <c r="G715" s="302"/>
      <c r="H715" s="302"/>
      <c r="I715" s="302"/>
      <c r="J715" s="302"/>
      <c r="K715" s="302"/>
      <c r="L715" s="302"/>
      <c r="M715" s="302"/>
      <c r="N715" s="302"/>
      <c r="O715" s="302"/>
      <c r="P715" s="302"/>
      <c r="Q715" s="302"/>
      <c r="R715" s="302"/>
      <c r="S715" s="302"/>
      <c r="T715" s="413"/>
      <c r="U715" s="302"/>
      <c r="V715" s="302"/>
      <c r="W715" s="302"/>
      <c r="X715" s="302"/>
      <c r="Y715" s="302"/>
      <c r="Z715" s="302"/>
      <c r="AA715" s="302"/>
    </row>
    <row r="716" spans="1:27" ht="16" x14ac:dyDescent="0.2">
      <c r="A716" s="302"/>
      <c r="B716" s="302"/>
      <c r="C716" s="302"/>
      <c r="D716" s="302"/>
      <c r="E716" s="302"/>
      <c r="F716" s="302"/>
      <c r="G716" s="302"/>
      <c r="H716" s="302"/>
      <c r="I716" s="302"/>
      <c r="J716" s="302"/>
      <c r="K716" s="302"/>
      <c r="L716" s="302"/>
      <c r="M716" s="302"/>
      <c r="N716" s="302"/>
      <c r="O716" s="302"/>
      <c r="P716" s="302"/>
      <c r="Q716" s="302"/>
      <c r="R716" s="302"/>
      <c r="S716" s="302"/>
      <c r="T716" s="413"/>
      <c r="U716" s="302"/>
      <c r="V716" s="302"/>
      <c r="W716" s="302"/>
      <c r="X716" s="302"/>
      <c r="Y716" s="302"/>
      <c r="Z716" s="302"/>
      <c r="AA716" s="302"/>
    </row>
    <row r="717" spans="1:27" ht="16" x14ac:dyDescent="0.2">
      <c r="A717" s="302"/>
      <c r="B717" s="302"/>
      <c r="C717" s="302"/>
      <c r="D717" s="302"/>
      <c r="E717" s="302"/>
      <c r="F717" s="302"/>
      <c r="G717" s="302"/>
      <c r="H717" s="302"/>
      <c r="I717" s="302"/>
      <c r="J717" s="302"/>
      <c r="K717" s="302"/>
      <c r="L717" s="302"/>
      <c r="M717" s="302"/>
      <c r="N717" s="302"/>
      <c r="O717" s="302"/>
      <c r="P717" s="302"/>
      <c r="Q717" s="302"/>
      <c r="R717" s="302"/>
      <c r="S717" s="302"/>
      <c r="T717" s="413"/>
      <c r="U717" s="302"/>
      <c r="V717" s="302"/>
      <c r="W717" s="302"/>
      <c r="X717" s="302"/>
      <c r="Y717" s="302"/>
      <c r="Z717" s="302"/>
      <c r="AA717" s="302"/>
    </row>
    <row r="718" spans="1:27" ht="16" x14ac:dyDescent="0.2">
      <c r="A718" s="302"/>
      <c r="B718" s="302"/>
      <c r="C718" s="302"/>
      <c r="D718" s="302"/>
      <c r="E718" s="302"/>
      <c r="F718" s="302"/>
      <c r="G718" s="302"/>
      <c r="H718" s="302"/>
      <c r="I718" s="302"/>
      <c r="J718" s="302"/>
      <c r="K718" s="302"/>
      <c r="L718" s="302"/>
      <c r="M718" s="302"/>
      <c r="N718" s="302"/>
      <c r="O718" s="302"/>
      <c r="P718" s="302"/>
      <c r="Q718" s="302"/>
      <c r="R718" s="302"/>
      <c r="S718" s="302"/>
      <c r="T718" s="413"/>
      <c r="U718" s="302"/>
      <c r="V718" s="302"/>
      <c r="W718" s="302"/>
      <c r="X718" s="302"/>
      <c r="Y718" s="302"/>
      <c r="Z718" s="302"/>
      <c r="AA718" s="302"/>
    </row>
    <row r="719" spans="1:27" ht="16" x14ac:dyDescent="0.2">
      <c r="A719" s="302"/>
      <c r="B719" s="302"/>
      <c r="C719" s="302"/>
      <c r="D719" s="302"/>
      <c r="E719" s="302"/>
      <c r="F719" s="302"/>
      <c r="G719" s="302"/>
      <c r="H719" s="302"/>
      <c r="I719" s="302"/>
      <c r="J719" s="302"/>
      <c r="K719" s="302"/>
      <c r="L719" s="302"/>
      <c r="M719" s="302"/>
      <c r="N719" s="302"/>
      <c r="O719" s="302"/>
      <c r="P719" s="302"/>
      <c r="Q719" s="302"/>
      <c r="R719" s="302"/>
      <c r="S719" s="302"/>
      <c r="T719" s="413"/>
      <c r="U719" s="302"/>
      <c r="V719" s="302"/>
      <c r="W719" s="302"/>
      <c r="X719" s="302"/>
      <c r="Y719" s="302"/>
      <c r="Z719" s="302"/>
      <c r="AA719" s="302"/>
    </row>
    <row r="720" spans="1:27" ht="16" x14ac:dyDescent="0.2">
      <c r="A720" s="302"/>
      <c r="B720" s="302"/>
      <c r="C720" s="302"/>
      <c r="D720" s="302"/>
      <c r="E720" s="302"/>
      <c r="F720" s="302"/>
      <c r="G720" s="302"/>
      <c r="H720" s="302"/>
      <c r="I720" s="302"/>
      <c r="J720" s="302"/>
      <c r="K720" s="302"/>
      <c r="L720" s="302"/>
      <c r="M720" s="302"/>
      <c r="N720" s="302"/>
      <c r="O720" s="302"/>
      <c r="P720" s="302"/>
      <c r="Q720" s="302"/>
      <c r="R720" s="302"/>
      <c r="S720" s="302"/>
      <c r="T720" s="413"/>
      <c r="U720" s="302"/>
      <c r="V720" s="302"/>
      <c r="W720" s="302"/>
      <c r="X720" s="302"/>
      <c r="Y720" s="302"/>
      <c r="Z720" s="302"/>
      <c r="AA720" s="302"/>
    </row>
    <row r="721" spans="1:27" ht="16" x14ac:dyDescent="0.2">
      <c r="A721" s="302"/>
      <c r="B721" s="302"/>
      <c r="C721" s="302"/>
      <c r="D721" s="302"/>
      <c r="E721" s="302"/>
      <c r="F721" s="302"/>
      <c r="G721" s="302"/>
      <c r="H721" s="302"/>
      <c r="I721" s="302"/>
      <c r="J721" s="302"/>
      <c r="K721" s="302"/>
      <c r="L721" s="302"/>
      <c r="M721" s="302"/>
      <c r="N721" s="302"/>
      <c r="O721" s="302"/>
      <c r="P721" s="302"/>
      <c r="Q721" s="302"/>
      <c r="R721" s="302"/>
      <c r="S721" s="302"/>
      <c r="T721" s="413"/>
      <c r="U721" s="302"/>
      <c r="V721" s="302"/>
      <c r="W721" s="302"/>
      <c r="X721" s="302"/>
      <c r="Y721" s="302"/>
      <c r="Z721" s="302"/>
      <c r="AA721" s="302"/>
    </row>
    <row r="722" spans="1:27" ht="16" x14ac:dyDescent="0.2">
      <c r="A722" s="302"/>
      <c r="B722" s="302"/>
      <c r="C722" s="302"/>
      <c r="D722" s="302"/>
      <c r="E722" s="302"/>
      <c r="F722" s="302"/>
      <c r="G722" s="302"/>
      <c r="H722" s="302"/>
      <c r="I722" s="302"/>
      <c r="J722" s="302"/>
      <c r="K722" s="302"/>
      <c r="L722" s="302"/>
      <c r="M722" s="302"/>
      <c r="N722" s="302"/>
      <c r="O722" s="302"/>
      <c r="P722" s="302"/>
      <c r="Q722" s="302"/>
      <c r="R722" s="302"/>
      <c r="S722" s="302"/>
      <c r="T722" s="413"/>
      <c r="U722" s="302"/>
      <c r="V722" s="302"/>
      <c r="W722" s="302"/>
      <c r="X722" s="302"/>
      <c r="Y722" s="302"/>
      <c r="Z722" s="302"/>
      <c r="AA722" s="302"/>
    </row>
    <row r="723" spans="1:27" ht="16" x14ac:dyDescent="0.2">
      <c r="A723" s="302"/>
      <c r="B723" s="302"/>
      <c r="C723" s="302"/>
      <c r="D723" s="302"/>
      <c r="E723" s="302"/>
      <c r="F723" s="302"/>
      <c r="G723" s="302"/>
      <c r="H723" s="302"/>
      <c r="I723" s="302"/>
      <c r="J723" s="302"/>
      <c r="K723" s="302"/>
      <c r="L723" s="302"/>
      <c r="M723" s="302"/>
      <c r="N723" s="302"/>
      <c r="O723" s="302"/>
      <c r="P723" s="302"/>
      <c r="Q723" s="302"/>
      <c r="R723" s="302"/>
      <c r="S723" s="302"/>
      <c r="T723" s="413"/>
      <c r="U723" s="302"/>
      <c r="V723" s="302"/>
      <c r="W723" s="302"/>
      <c r="X723" s="302"/>
      <c r="Y723" s="302"/>
      <c r="Z723" s="302"/>
      <c r="AA723" s="302"/>
    </row>
    <row r="724" spans="1:27" ht="16" x14ac:dyDescent="0.2">
      <c r="A724" s="302"/>
      <c r="B724" s="302"/>
      <c r="C724" s="302"/>
      <c r="D724" s="302"/>
      <c r="E724" s="302"/>
      <c r="F724" s="302"/>
      <c r="G724" s="302"/>
      <c r="H724" s="302"/>
      <c r="I724" s="302"/>
      <c r="J724" s="302"/>
      <c r="K724" s="302"/>
      <c r="L724" s="302"/>
      <c r="M724" s="302"/>
      <c r="N724" s="302"/>
      <c r="O724" s="302"/>
      <c r="P724" s="302"/>
      <c r="Q724" s="302"/>
      <c r="R724" s="302"/>
      <c r="S724" s="302"/>
      <c r="T724" s="413"/>
      <c r="U724" s="302"/>
      <c r="V724" s="302"/>
      <c r="W724" s="302"/>
      <c r="X724" s="302"/>
      <c r="Y724" s="302"/>
      <c r="Z724" s="302"/>
      <c r="AA724" s="302"/>
    </row>
    <row r="725" spans="1:27" ht="16" x14ac:dyDescent="0.2">
      <c r="A725" s="302"/>
      <c r="B725" s="302"/>
      <c r="C725" s="302"/>
      <c r="D725" s="302"/>
      <c r="E725" s="302"/>
      <c r="F725" s="302"/>
      <c r="G725" s="302"/>
      <c r="H725" s="302"/>
      <c r="I725" s="302"/>
      <c r="J725" s="302"/>
      <c r="K725" s="302"/>
      <c r="L725" s="302"/>
      <c r="M725" s="302"/>
      <c r="N725" s="302"/>
      <c r="O725" s="302"/>
      <c r="P725" s="302"/>
      <c r="Q725" s="302"/>
      <c r="R725" s="302"/>
      <c r="S725" s="302"/>
      <c r="T725" s="413"/>
      <c r="U725" s="302"/>
      <c r="V725" s="302"/>
      <c r="W725" s="302"/>
      <c r="X725" s="302"/>
      <c r="Y725" s="302"/>
      <c r="Z725" s="302"/>
      <c r="AA725" s="302"/>
    </row>
    <row r="726" spans="1:27" ht="16" x14ac:dyDescent="0.2">
      <c r="A726" s="302"/>
      <c r="B726" s="302"/>
      <c r="C726" s="302"/>
      <c r="D726" s="302"/>
      <c r="E726" s="302"/>
      <c r="F726" s="302"/>
      <c r="G726" s="302"/>
      <c r="H726" s="302"/>
      <c r="I726" s="302"/>
      <c r="J726" s="302"/>
      <c r="K726" s="302"/>
      <c r="L726" s="302"/>
      <c r="M726" s="302"/>
      <c r="N726" s="302"/>
      <c r="O726" s="302"/>
      <c r="P726" s="302"/>
      <c r="Q726" s="302"/>
      <c r="R726" s="302"/>
      <c r="S726" s="302"/>
      <c r="T726" s="413"/>
      <c r="U726" s="302"/>
      <c r="V726" s="302"/>
      <c r="W726" s="302"/>
      <c r="X726" s="302"/>
      <c r="Y726" s="302"/>
      <c r="Z726" s="302"/>
      <c r="AA726" s="302"/>
    </row>
    <row r="727" spans="1:27" ht="16" x14ac:dyDescent="0.2">
      <c r="A727" s="302"/>
      <c r="B727" s="302"/>
      <c r="C727" s="302"/>
      <c r="D727" s="302"/>
      <c r="E727" s="302"/>
      <c r="F727" s="302"/>
      <c r="G727" s="302"/>
      <c r="H727" s="302"/>
      <c r="I727" s="302"/>
      <c r="J727" s="302"/>
      <c r="K727" s="302"/>
      <c r="L727" s="302"/>
      <c r="M727" s="302"/>
      <c r="N727" s="302"/>
      <c r="O727" s="302"/>
      <c r="P727" s="302"/>
      <c r="Q727" s="302"/>
      <c r="R727" s="302"/>
      <c r="S727" s="302"/>
      <c r="T727" s="413"/>
      <c r="U727" s="302"/>
      <c r="V727" s="302"/>
      <c r="W727" s="302"/>
      <c r="X727" s="302"/>
      <c r="Y727" s="302"/>
      <c r="Z727" s="302"/>
      <c r="AA727" s="302"/>
    </row>
    <row r="728" spans="1:27" ht="16" x14ac:dyDescent="0.2">
      <c r="A728" s="302"/>
      <c r="B728" s="302"/>
      <c r="C728" s="302"/>
      <c r="D728" s="302"/>
      <c r="E728" s="302"/>
      <c r="F728" s="302"/>
      <c r="G728" s="302"/>
      <c r="H728" s="302"/>
      <c r="I728" s="302"/>
      <c r="J728" s="302"/>
      <c r="K728" s="302"/>
      <c r="L728" s="302"/>
      <c r="M728" s="302"/>
      <c r="N728" s="302"/>
      <c r="O728" s="302"/>
      <c r="P728" s="302"/>
      <c r="Q728" s="302"/>
      <c r="R728" s="302"/>
      <c r="S728" s="302"/>
      <c r="T728" s="413"/>
      <c r="U728" s="302"/>
      <c r="V728" s="302"/>
      <c r="W728" s="302"/>
      <c r="X728" s="302"/>
      <c r="Y728" s="302"/>
      <c r="Z728" s="302"/>
      <c r="AA728" s="302"/>
    </row>
    <row r="729" spans="1:27" ht="16" x14ac:dyDescent="0.2">
      <c r="A729" s="302"/>
      <c r="B729" s="302"/>
      <c r="C729" s="302"/>
      <c r="D729" s="302"/>
      <c r="E729" s="302"/>
      <c r="F729" s="302"/>
      <c r="G729" s="302"/>
      <c r="H729" s="302"/>
      <c r="I729" s="302"/>
      <c r="J729" s="302"/>
      <c r="K729" s="302"/>
      <c r="L729" s="302"/>
      <c r="M729" s="302"/>
      <c r="N729" s="302"/>
      <c r="O729" s="302"/>
      <c r="P729" s="302"/>
      <c r="Q729" s="302"/>
      <c r="R729" s="302"/>
      <c r="S729" s="302"/>
      <c r="T729" s="413"/>
      <c r="U729" s="302"/>
      <c r="V729" s="302"/>
      <c r="W729" s="302"/>
      <c r="X729" s="302"/>
      <c r="Y729" s="302"/>
      <c r="Z729" s="302"/>
      <c r="AA729" s="302"/>
    </row>
    <row r="730" spans="1:27" ht="16" x14ac:dyDescent="0.2">
      <c r="A730" s="302"/>
      <c r="B730" s="302"/>
      <c r="C730" s="302"/>
      <c r="D730" s="302"/>
      <c r="E730" s="302"/>
      <c r="F730" s="302"/>
      <c r="G730" s="302"/>
      <c r="H730" s="302"/>
      <c r="I730" s="302"/>
      <c r="J730" s="302"/>
      <c r="K730" s="302"/>
      <c r="L730" s="302"/>
      <c r="M730" s="302"/>
      <c r="N730" s="302"/>
      <c r="O730" s="302"/>
      <c r="P730" s="302"/>
      <c r="Q730" s="302"/>
      <c r="R730" s="302"/>
      <c r="S730" s="302"/>
      <c r="T730" s="413"/>
      <c r="U730" s="302"/>
      <c r="V730" s="302"/>
      <c r="W730" s="302"/>
      <c r="X730" s="302"/>
      <c r="Y730" s="302"/>
      <c r="Z730" s="302"/>
      <c r="AA730" s="302"/>
    </row>
    <row r="731" spans="1:27" ht="16" x14ac:dyDescent="0.2">
      <c r="A731" s="302"/>
      <c r="B731" s="302"/>
      <c r="C731" s="302"/>
      <c r="D731" s="302"/>
      <c r="E731" s="302"/>
      <c r="F731" s="302"/>
      <c r="G731" s="302"/>
      <c r="H731" s="302"/>
      <c r="I731" s="302"/>
      <c r="J731" s="302"/>
      <c r="K731" s="302"/>
      <c r="L731" s="302"/>
      <c r="M731" s="302"/>
      <c r="N731" s="302"/>
      <c r="O731" s="302"/>
      <c r="P731" s="302"/>
      <c r="Q731" s="302"/>
      <c r="R731" s="302"/>
      <c r="S731" s="302"/>
      <c r="T731" s="413"/>
      <c r="U731" s="302"/>
      <c r="V731" s="302"/>
      <c r="W731" s="302"/>
      <c r="X731" s="302"/>
      <c r="Y731" s="302"/>
      <c r="Z731" s="302"/>
      <c r="AA731" s="302"/>
    </row>
    <row r="732" spans="1:27" ht="16" x14ac:dyDescent="0.2">
      <c r="A732" s="302"/>
      <c r="B732" s="302"/>
      <c r="C732" s="302"/>
      <c r="D732" s="302"/>
      <c r="E732" s="302"/>
      <c r="F732" s="302"/>
      <c r="G732" s="302"/>
      <c r="H732" s="302"/>
      <c r="I732" s="302"/>
      <c r="J732" s="302"/>
      <c r="K732" s="302"/>
      <c r="L732" s="302"/>
      <c r="M732" s="302"/>
      <c r="N732" s="302"/>
      <c r="O732" s="302"/>
      <c r="P732" s="302"/>
      <c r="Q732" s="302"/>
      <c r="R732" s="302"/>
      <c r="S732" s="302"/>
      <c r="T732" s="413"/>
      <c r="U732" s="302"/>
      <c r="V732" s="302"/>
      <c r="W732" s="302"/>
      <c r="X732" s="302"/>
      <c r="Y732" s="302"/>
      <c r="Z732" s="302"/>
      <c r="AA732" s="302"/>
    </row>
    <row r="733" spans="1:27" ht="16" x14ac:dyDescent="0.2">
      <c r="A733" s="302"/>
      <c r="B733" s="302"/>
      <c r="C733" s="302"/>
      <c r="D733" s="302"/>
      <c r="E733" s="302"/>
      <c r="F733" s="302"/>
      <c r="G733" s="302"/>
      <c r="H733" s="302"/>
      <c r="I733" s="302"/>
      <c r="J733" s="302"/>
      <c r="K733" s="302"/>
      <c r="L733" s="302"/>
      <c r="M733" s="302"/>
      <c r="N733" s="302"/>
      <c r="O733" s="302"/>
      <c r="P733" s="302"/>
      <c r="Q733" s="302"/>
      <c r="R733" s="302"/>
      <c r="S733" s="302"/>
      <c r="T733" s="413"/>
      <c r="U733" s="302"/>
      <c r="V733" s="302"/>
      <c r="W733" s="302"/>
      <c r="X733" s="302"/>
      <c r="Y733" s="302"/>
      <c r="Z733" s="302"/>
      <c r="AA733" s="302"/>
    </row>
    <row r="734" spans="1:27" ht="16" x14ac:dyDescent="0.2">
      <c r="A734" s="302"/>
      <c r="B734" s="302"/>
      <c r="C734" s="302"/>
      <c r="D734" s="302"/>
      <c r="E734" s="302"/>
      <c r="F734" s="302"/>
      <c r="G734" s="302"/>
      <c r="H734" s="302"/>
      <c r="I734" s="302"/>
      <c r="J734" s="302"/>
      <c r="K734" s="302"/>
      <c r="L734" s="302"/>
      <c r="M734" s="302"/>
      <c r="N734" s="302"/>
      <c r="O734" s="302"/>
      <c r="P734" s="302"/>
      <c r="Q734" s="302"/>
      <c r="R734" s="302"/>
      <c r="S734" s="302"/>
      <c r="T734" s="413"/>
      <c r="U734" s="302"/>
      <c r="V734" s="302"/>
      <c r="W734" s="302"/>
      <c r="X734" s="302"/>
      <c r="Y734" s="302"/>
      <c r="Z734" s="302"/>
      <c r="AA734" s="302"/>
    </row>
    <row r="735" spans="1:27" ht="16" x14ac:dyDescent="0.2">
      <c r="A735" s="302"/>
      <c r="B735" s="302"/>
      <c r="C735" s="302"/>
      <c r="D735" s="302"/>
      <c r="E735" s="302"/>
      <c r="F735" s="302"/>
      <c r="G735" s="302"/>
      <c r="H735" s="302"/>
      <c r="I735" s="302"/>
      <c r="J735" s="302"/>
      <c r="K735" s="302"/>
      <c r="L735" s="302"/>
      <c r="M735" s="302"/>
      <c r="N735" s="302"/>
      <c r="O735" s="302"/>
      <c r="P735" s="302"/>
      <c r="Q735" s="302"/>
      <c r="R735" s="302"/>
      <c r="S735" s="302"/>
      <c r="T735" s="413"/>
      <c r="U735" s="302"/>
      <c r="V735" s="302"/>
      <c r="W735" s="302"/>
      <c r="X735" s="302"/>
      <c r="Y735" s="302"/>
      <c r="Z735" s="302"/>
      <c r="AA735" s="302"/>
    </row>
    <row r="736" spans="1:27" ht="16" x14ac:dyDescent="0.2">
      <c r="A736" s="302"/>
      <c r="B736" s="302"/>
      <c r="C736" s="302"/>
      <c r="D736" s="302"/>
      <c r="E736" s="302"/>
      <c r="F736" s="302"/>
      <c r="G736" s="302"/>
      <c r="H736" s="302"/>
      <c r="I736" s="302"/>
      <c r="J736" s="302"/>
      <c r="K736" s="302"/>
      <c r="L736" s="302"/>
      <c r="M736" s="302"/>
      <c r="N736" s="302"/>
      <c r="O736" s="302"/>
      <c r="P736" s="302"/>
      <c r="Q736" s="302"/>
      <c r="R736" s="302"/>
      <c r="S736" s="302"/>
      <c r="T736" s="413"/>
      <c r="U736" s="302"/>
      <c r="V736" s="302"/>
      <c r="W736" s="302"/>
      <c r="X736" s="302"/>
      <c r="Y736" s="302"/>
      <c r="Z736" s="302"/>
      <c r="AA736" s="302"/>
    </row>
    <row r="737" spans="1:27" ht="16" x14ac:dyDescent="0.2">
      <c r="A737" s="302"/>
      <c r="B737" s="302"/>
      <c r="C737" s="302"/>
      <c r="D737" s="302"/>
      <c r="E737" s="302"/>
      <c r="F737" s="302"/>
      <c r="G737" s="302"/>
      <c r="H737" s="302"/>
      <c r="I737" s="302"/>
      <c r="J737" s="302"/>
      <c r="K737" s="302"/>
      <c r="L737" s="302"/>
      <c r="M737" s="302"/>
      <c r="N737" s="302"/>
      <c r="O737" s="302"/>
      <c r="P737" s="302"/>
      <c r="Q737" s="302"/>
      <c r="R737" s="302"/>
      <c r="S737" s="302"/>
      <c r="T737" s="413"/>
      <c r="U737" s="302"/>
      <c r="V737" s="302"/>
      <c r="W737" s="302"/>
      <c r="X737" s="302"/>
      <c r="Y737" s="302"/>
      <c r="Z737" s="302"/>
      <c r="AA737" s="302"/>
    </row>
    <row r="738" spans="1:27" ht="16" x14ac:dyDescent="0.2">
      <c r="A738" s="302"/>
      <c r="B738" s="302"/>
      <c r="C738" s="302"/>
      <c r="D738" s="302"/>
      <c r="E738" s="302"/>
      <c r="F738" s="302"/>
      <c r="G738" s="302"/>
      <c r="H738" s="302"/>
      <c r="I738" s="302"/>
      <c r="J738" s="302"/>
      <c r="K738" s="302"/>
      <c r="L738" s="302"/>
      <c r="M738" s="302"/>
      <c r="N738" s="302"/>
      <c r="O738" s="302"/>
      <c r="P738" s="302"/>
      <c r="Q738" s="302"/>
      <c r="R738" s="302"/>
      <c r="S738" s="302"/>
      <c r="T738" s="413"/>
      <c r="U738" s="302"/>
      <c r="V738" s="302"/>
      <c r="W738" s="302"/>
      <c r="X738" s="302"/>
      <c r="Y738" s="302"/>
      <c r="Z738" s="302"/>
      <c r="AA738" s="302"/>
    </row>
    <row r="739" spans="1:27" ht="16" x14ac:dyDescent="0.2">
      <c r="A739" s="302"/>
      <c r="B739" s="302"/>
      <c r="C739" s="302"/>
      <c r="D739" s="302"/>
      <c r="E739" s="302"/>
      <c r="F739" s="302"/>
      <c r="G739" s="302"/>
      <c r="H739" s="302"/>
      <c r="I739" s="302"/>
      <c r="J739" s="302"/>
      <c r="K739" s="302"/>
      <c r="L739" s="302"/>
      <c r="M739" s="302"/>
      <c r="N739" s="302"/>
      <c r="O739" s="302"/>
      <c r="P739" s="302"/>
      <c r="Q739" s="302"/>
      <c r="R739" s="302"/>
      <c r="S739" s="302"/>
      <c r="T739" s="413"/>
      <c r="U739" s="302"/>
      <c r="V739" s="302"/>
      <c r="W739" s="302"/>
      <c r="X739" s="302"/>
      <c r="Y739" s="302"/>
      <c r="Z739" s="302"/>
      <c r="AA739" s="302"/>
    </row>
    <row r="740" spans="1:27" ht="16" x14ac:dyDescent="0.2">
      <c r="A740" s="302"/>
      <c r="B740" s="302"/>
      <c r="C740" s="302"/>
      <c r="D740" s="302"/>
      <c r="E740" s="302"/>
      <c r="F740" s="302"/>
      <c r="G740" s="302"/>
      <c r="H740" s="302"/>
      <c r="I740" s="302"/>
      <c r="J740" s="302"/>
      <c r="K740" s="302"/>
      <c r="L740" s="302"/>
      <c r="M740" s="302"/>
      <c r="N740" s="302"/>
      <c r="O740" s="302"/>
      <c r="P740" s="302"/>
      <c r="Q740" s="302"/>
      <c r="R740" s="302"/>
      <c r="S740" s="302"/>
      <c r="T740" s="413"/>
      <c r="U740" s="302"/>
      <c r="V740" s="302"/>
      <c r="W740" s="302"/>
      <c r="X740" s="302"/>
      <c r="Y740" s="302"/>
      <c r="Z740" s="302"/>
      <c r="AA740" s="302"/>
    </row>
    <row r="741" spans="1:27" ht="16" x14ac:dyDescent="0.2">
      <c r="A741" s="302"/>
      <c r="B741" s="302"/>
      <c r="C741" s="302"/>
      <c r="D741" s="302"/>
      <c r="E741" s="302"/>
      <c r="F741" s="302"/>
      <c r="G741" s="302"/>
      <c r="H741" s="302"/>
      <c r="I741" s="302"/>
      <c r="J741" s="302"/>
      <c r="K741" s="302"/>
      <c r="L741" s="302"/>
      <c r="M741" s="302"/>
      <c r="N741" s="302"/>
      <c r="O741" s="302"/>
      <c r="P741" s="302"/>
      <c r="Q741" s="302"/>
      <c r="R741" s="302"/>
      <c r="S741" s="302"/>
      <c r="T741" s="413"/>
      <c r="U741" s="302"/>
      <c r="V741" s="302"/>
      <c r="W741" s="302"/>
      <c r="X741" s="302"/>
      <c r="Y741" s="302"/>
      <c r="Z741" s="302"/>
      <c r="AA741" s="302"/>
    </row>
    <row r="742" spans="1:27" ht="16" x14ac:dyDescent="0.2">
      <c r="A742" s="302"/>
      <c r="B742" s="302"/>
      <c r="C742" s="302"/>
      <c r="D742" s="302"/>
      <c r="E742" s="302"/>
      <c r="F742" s="302"/>
      <c r="G742" s="302"/>
      <c r="H742" s="302"/>
      <c r="I742" s="302"/>
      <c r="J742" s="302"/>
      <c r="K742" s="302"/>
      <c r="L742" s="302"/>
      <c r="M742" s="302"/>
      <c r="N742" s="302"/>
      <c r="O742" s="302"/>
      <c r="P742" s="302"/>
      <c r="Q742" s="302"/>
      <c r="R742" s="302"/>
      <c r="S742" s="302"/>
      <c r="T742" s="413"/>
      <c r="U742" s="302"/>
      <c r="V742" s="302"/>
      <c r="W742" s="302"/>
      <c r="X742" s="302"/>
      <c r="Y742" s="302"/>
      <c r="Z742" s="302"/>
      <c r="AA742" s="302"/>
    </row>
    <row r="743" spans="1:27" ht="16" x14ac:dyDescent="0.2">
      <c r="A743" s="302"/>
      <c r="B743" s="302"/>
      <c r="C743" s="302"/>
      <c r="D743" s="302"/>
      <c r="E743" s="302"/>
      <c r="F743" s="302"/>
      <c r="G743" s="302"/>
      <c r="H743" s="302"/>
      <c r="I743" s="302"/>
      <c r="J743" s="302"/>
      <c r="K743" s="302"/>
      <c r="L743" s="302"/>
      <c r="M743" s="302"/>
      <c r="N743" s="302"/>
      <c r="O743" s="302"/>
      <c r="P743" s="302"/>
      <c r="Q743" s="302"/>
      <c r="R743" s="302"/>
      <c r="S743" s="302"/>
      <c r="T743" s="413"/>
      <c r="U743" s="302"/>
      <c r="V743" s="302"/>
      <c r="W743" s="302"/>
      <c r="X743" s="302"/>
      <c r="Y743" s="302"/>
      <c r="Z743" s="302"/>
      <c r="AA743" s="302"/>
    </row>
    <row r="744" spans="1:27" ht="16" x14ac:dyDescent="0.2">
      <c r="A744" s="302"/>
      <c r="B744" s="302"/>
      <c r="C744" s="302"/>
      <c r="D744" s="302"/>
      <c r="E744" s="302"/>
      <c r="F744" s="302"/>
      <c r="G744" s="302"/>
      <c r="H744" s="302"/>
      <c r="I744" s="302"/>
      <c r="J744" s="302"/>
      <c r="K744" s="302"/>
      <c r="L744" s="302"/>
      <c r="M744" s="302"/>
      <c r="N744" s="302"/>
      <c r="O744" s="302"/>
      <c r="P744" s="302"/>
      <c r="Q744" s="302"/>
      <c r="R744" s="302"/>
      <c r="S744" s="302"/>
      <c r="T744" s="413"/>
      <c r="U744" s="302"/>
      <c r="V744" s="302"/>
      <c r="W744" s="302"/>
      <c r="X744" s="302"/>
      <c r="Y744" s="302"/>
      <c r="Z744" s="302"/>
      <c r="AA744" s="302"/>
    </row>
    <row r="745" spans="1:27" ht="16" x14ac:dyDescent="0.2">
      <c r="A745" s="302"/>
      <c r="B745" s="302"/>
      <c r="C745" s="302"/>
      <c r="D745" s="302"/>
      <c r="E745" s="302"/>
      <c r="F745" s="302"/>
      <c r="G745" s="302"/>
      <c r="H745" s="302"/>
      <c r="I745" s="302"/>
      <c r="J745" s="302"/>
      <c r="K745" s="302"/>
      <c r="L745" s="302"/>
      <c r="M745" s="302"/>
      <c r="N745" s="302"/>
      <c r="O745" s="302"/>
      <c r="P745" s="302"/>
      <c r="Q745" s="302"/>
      <c r="R745" s="302"/>
      <c r="S745" s="302"/>
      <c r="T745" s="413"/>
      <c r="U745" s="302"/>
      <c r="V745" s="302"/>
      <c r="W745" s="302"/>
      <c r="X745" s="302"/>
      <c r="Y745" s="302"/>
      <c r="Z745" s="302"/>
      <c r="AA745" s="302"/>
    </row>
    <row r="746" spans="1:27" ht="16" x14ac:dyDescent="0.2">
      <c r="A746" s="302"/>
      <c r="B746" s="302"/>
      <c r="C746" s="302"/>
      <c r="D746" s="302"/>
      <c r="E746" s="302"/>
      <c r="F746" s="302"/>
      <c r="G746" s="302"/>
      <c r="H746" s="302"/>
      <c r="I746" s="302"/>
      <c r="J746" s="302"/>
      <c r="K746" s="302"/>
      <c r="L746" s="302"/>
      <c r="M746" s="302"/>
      <c r="N746" s="302"/>
      <c r="O746" s="302"/>
      <c r="P746" s="302"/>
      <c r="Q746" s="302"/>
      <c r="R746" s="302"/>
      <c r="S746" s="302"/>
      <c r="T746" s="413"/>
      <c r="U746" s="302"/>
      <c r="V746" s="302"/>
      <c r="W746" s="302"/>
      <c r="X746" s="302"/>
      <c r="Y746" s="302"/>
      <c r="Z746" s="302"/>
      <c r="AA746" s="302"/>
    </row>
    <row r="747" spans="1:27" ht="16" x14ac:dyDescent="0.2">
      <c r="A747" s="302"/>
      <c r="B747" s="302"/>
      <c r="C747" s="302"/>
      <c r="D747" s="302"/>
      <c r="E747" s="302"/>
      <c r="F747" s="302"/>
      <c r="G747" s="302"/>
      <c r="H747" s="302"/>
      <c r="I747" s="302"/>
      <c r="J747" s="302"/>
      <c r="K747" s="302"/>
      <c r="L747" s="302"/>
      <c r="M747" s="302"/>
      <c r="N747" s="302"/>
      <c r="O747" s="302"/>
      <c r="P747" s="302"/>
      <c r="Q747" s="302"/>
      <c r="R747" s="302"/>
      <c r="S747" s="302"/>
      <c r="T747" s="413"/>
      <c r="U747" s="302"/>
      <c r="V747" s="302"/>
      <c r="W747" s="302"/>
      <c r="X747" s="302"/>
      <c r="Y747" s="302"/>
      <c r="Z747" s="302"/>
      <c r="AA747" s="302"/>
    </row>
    <row r="748" spans="1:27" ht="16" x14ac:dyDescent="0.2">
      <c r="A748" s="302"/>
      <c r="B748" s="302"/>
      <c r="C748" s="302"/>
      <c r="D748" s="302"/>
      <c r="E748" s="302"/>
      <c r="F748" s="302"/>
      <c r="G748" s="302"/>
      <c r="H748" s="302"/>
      <c r="I748" s="302"/>
      <c r="J748" s="302"/>
      <c r="K748" s="302"/>
      <c r="L748" s="302"/>
      <c r="M748" s="302"/>
      <c r="N748" s="302"/>
      <c r="O748" s="302"/>
      <c r="P748" s="302"/>
      <c r="Q748" s="302"/>
      <c r="R748" s="302"/>
      <c r="S748" s="302"/>
      <c r="T748" s="413"/>
      <c r="U748" s="302"/>
      <c r="V748" s="302"/>
      <c r="W748" s="302"/>
      <c r="X748" s="302"/>
      <c r="Y748" s="302"/>
      <c r="Z748" s="302"/>
      <c r="AA748" s="302"/>
    </row>
    <row r="749" spans="1:27" ht="16" x14ac:dyDescent="0.2">
      <c r="A749" s="302"/>
      <c r="B749" s="302"/>
      <c r="C749" s="302"/>
      <c r="D749" s="302"/>
      <c r="E749" s="302"/>
      <c r="F749" s="302"/>
      <c r="G749" s="302"/>
      <c r="H749" s="302"/>
      <c r="I749" s="302"/>
      <c r="J749" s="302"/>
      <c r="K749" s="302"/>
      <c r="L749" s="302"/>
      <c r="M749" s="302"/>
      <c r="N749" s="302"/>
      <c r="O749" s="302"/>
      <c r="P749" s="302"/>
      <c r="Q749" s="302"/>
      <c r="R749" s="302"/>
      <c r="S749" s="302"/>
      <c r="T749" s="413"/>
      <c r="U749" s="302"/>
      <c r="V749" s="302"/>
      <c r="W749" s="302"/>
      <c r="X749" s="302"/>
      <c r="Y749" s="302"/>
      <c r="Z749" s="302"/>
      <c r="AA749" s="302"/>
    </row>
    <row r="750" spans="1:27" ht="16" x14ac:dyDescent="0.2">
      <c r="A750" s="302"/>
      <c r="B750" s="302"/>
      <c r="C750" s="302"/>
      <c r="D750" s="302"/>
      <c r="E750" s="302"/>
      <c r="F750" s="302"/>
      <c r="G750" s="302"/>
      <c r="H750" s="302"/>
      <c r="I750" s="302"/>
      <c r="J750" s="302"/>
      <c r="K750" s="302"/>
      <c r="L750" s="302"/>
      <c r="M750" s="302"/>
      <c r="N750" s="302"/>
      <c r="O750" s="302"/>
      <c r="P750" s="302"/>
      <c r="Q750" s="302"/>
      <c r="R750" s="302"/>
      <c r="S750" s="302"/>
      <c r="T750" s="413"/>
      <c r="U750" s="302"/>
      <c r="V750" s="302"/>
      <c r="W750" s="302"/>
      <c r="X750" s="302"/>
      <c r="Y750" s="302"/>
      <c r="Z750" s="302"/>
      <c r="AA750" s="302"/>
    </row>
    <row r="751" spans="1:27" ht="16" x14ac:dyDescent="0.2">
      <c r="A751" s="302"/>
      <c r="B751" s="302"/>
      <c r="C751" s="302"/>
      <c r="D751" s="302"/>
      <c r="E751" s="302"/>
      <c r="F751" s="302"/>
      <c r="G751" s="302"/>
      <c r="H751" s="302"/>
      <c r="I751" s="302"/>
      <c r="J751" s="302"/>
      <c r="K751" s="302"/>
      <c r="L751" s="302"/>
      <c r="M751" s="302"/>
      <c r="N751" s="302"/>
      <c r="O751" s="302"/>
      <c r="P751" s="302"/>
      <c r="Q751" s="302"/>
      <c r="R751" s="302"/>
      <c r="S751" s="302"/>
      <c r="T751" s="413"/>
      <c r="U751" s="302"/>
      <c r="V751" s="302"/>
      <c r="W751" s="302"/>
      <c r="X751" s="302"/>
      <c r="Y751" s="302"/>
      <c r="Z751" s="302"/>
      <c r="AA751" s="302"/>
    </row>
    <row r="752" spans="1:27" ht="16" x14ac:dyDescent="0.2">
      <c r="A752" s="302"/>
      <c r="B752" s="302"/>
      <c r="C752" s="302"/>
      <c r="D752" s="302"/>
      <c r="E752" s="302"/>
      <c r="F752" s="302"/>
      <c r="G752" s="302"/>
      <c r="H752" s="302"/>
      <c r="I752" s="302"/>
      <c r="J752" s="302"/>
      <c r="K752" s="302"/>
      <c r="L752" s="302"/>
      <c r="M752" s="302"/>
      <c r="N752" s="302"/>
      <c r="O752" s="302"/>
      <c r="P752" s="302"/>
      <c r="Q752" s="302"/>
      <c r="R752" s="302"/>
      <c r="S752" s="302"/>
      <c r="T752" s="413"/>
      <c r="U752" s="302"/>
      <c r="V752" s="302"/>
      <c r="W752" s="302"/>
      <c r="X752" s="302"/>
      <c r="Y752" s="302"/>
      <c r="Z752" s="302"/>
      <c r="AA752" s="302"/>
    </row>
    <row r="753" spans="1:27" ht="16" x14ac:dyDescent="0.2">
      <c r="A753" s="302"/>
      <c r="B753" s="302"/>
      <c r="C753" s="302"/>
      <c r="D753" s="302"/>
      <c r="E753" s="302"/>
      <c r="F753" s="302"/>
      <c r="G753" s="302"/>
      <c r="H753" s="302"/>
      <c r="I753" s="302"/>
      <c r="J753" s="302"/>
      <c r="K753" s="302"/>
      <c r="L753" s="302"/>
      <c r="M753" s="302"/>
      <c r="N753" s="302"/>
      <c r="O753" s="302"/>
      <c r="P753" s="302"/>
      <c r="Q753" s="302"/>
      <c r="R753" s="302"/>
      <c r="S753" s="302"/>
      <c r="T753" s="413"/>
      <c r="U753" s="302"/>
      <c r="V753" s="302"/>
      <c r="W753" s="302"/>
      <c r="X753" s="302"/>
      <c r="Y753" s="302"/>
      <c r="Z753" s="302"/>
      <c r="AA753" s="302"/>
    </row>
    <row r="754" spans="1:27" ht="16" x14ac:dyDescent="0.2">
      <c r="A754" s="302"/>
      <c r="B754" s="302"/>
      <c r="C754" s="302"/>
      <c r="D754" s="302"/>
      <c r="E754" s="302"/>
      <c r="F754" s="302"/>
      <c r="G754" s="302"/>
      <c r="H754" s="302"/>
      <c r="I754" s="302"/>
      <c r="J754" s="302"/>
      <c r="K754" s="302"/>
      <c r="L754" s="302"/>
      <c r="M754" s="302"/>
      <c r="N754" s="302"/>
      <c r="O754" s="302"/>
      <c r="P754" s="302"/>
      <c r="Q754" s="302"/>
      <c r="R754" s="302"/>
      <c r="S754" s="302"/>
      <c r="T754" s="413"/>
      <c r="U754" s="302"/>
      <c r="V754" s="302"/>
      <c r="W754" s="302"/>
      <c r="X754" s="302"/>
      <c r="Y754" s="302"/>
      <c r="Z754" s="302"/>
      <c r="AA754" s="302"/>
    </row>
    <row r="755" spans="1:27" ht="16" x14ac:dyDescent="0.2">
      <c r="A755" s="302"/>
      <c r="B755" s="302"/>
      <c r="C755" s="302"/>
      <c r="D755" s="302"/>
      <c r="E755" s="302"/>
      <c r="F755" s="302"/>
      <c r="G755" s="302"/>
      <c r="H755" s="302"/>
      <c r="I755" s="302"/>
      <c r="J755" s="302"/>
      <c r="K755" s="302"/>
      <c r="L755" s="302"/>
      <c r="M755" s="302"/>
      <c r="N755" s="302"/>
      <c r="O755" s="302"/>
      <c r="P755" s="302"/>
      <c r="Q755" s="302"/>
      <c r="R755" s="302"/>
      <c r="S755" s="302"/>
      <c r="T755" s="413"/>
      <c r="U755" s="302"/>
      <c r="V755" s="302"/>
      <c r="W755" s="302"/>
      <c r="X755" s="302"/>
      <c r="Y755" s="302"/>
      <c r="Z755" s="302"/>
      <c r="AA755" s="302"/>
    </row>
    <row r="756" spans="1:27" ht="16" x14ac:dyDescent="0.2">
      <c r="A756" s="302"/>
      <c r="B756" s="302"/>
      <c r="C756" s="302"/>
      <c r="D756" s="302"/>
      <c r="E756" s="302"/>
      <c r="F756" s="302"/>
      <c r="G756" s="302"/>
      <c r="H756" s="302"/>
      <c r="I756" s="302"/>
      <c r="J756" s="302"/>
      <c r="K756" s="302"/>
      <c r="L756" s="302"/>
      <c r="M756" s="302"/>
      <c r="N756" s="302"/>
      <c r="O756" s="302"/>
      <c r="P756" s="302"/>
      <c r="Q756" s="302"/>
      <c r="R756" s="302"/>
      <c r="S756" s="302"/>
      <c r="T756" s="413"/>
      <c r="U756" s="302"/>
      <c r="V756" s="302"/>
      <c r="W756" s="302"/>
      <c r="X756" s="302"/>
      <c r="Y756" s="302"/>
      <c r="Z756" s="302"/>
      <c r="AA756" s="302"/>
    </row>
    <row r="757" spans="1:27" ht="16" x14ac:dyDescent="0.2">
      <c r="A757" s="302"/>
      <c r="B757" s="302"/>
      <c r="C757" s="302"/>
      <c r="D757" s="302"/>
      <c r="E757" s="302"/>
      <c r="F757" s="302"/>
      <c r="G757" s="302"/>
      <c r="H757" s="302"/>
      <c r="I757" s="302"/>
      <c r="J757" s="302"/>
      <c r="K757" s="302"/>
      <c r="L757" s="302"/>
      <c r="M757" s="302"/>
      <c r="N757" s="302"/>
      <c r="O757" s="302"/>
      <c r="P757" s="302"/>
      <c r="Q757" s="302"/>
      <c r="R757" s="302"/>
      <c r="S757" s="302"/>
      <c r="T757" s="413"/>
      <c r="U757" s="302"/>
      <c r="V757" s="302"/>
      <c r="W757" s="302"/>
      <c r="X757" s="302"/>
      <c r="Y757" s="302"/>
      <c r="Z757" s="302"/>
      <c r="AA757" s="302"/>
    </row>
    <row r="758" spans="1:27" ht="16" x14ac:dyDescent="0.2">
      <c r="A758" s="302"/>
      <c r="B758" s="302"/>
      <c r="C758" s="302"/>
      <c r="D758" s="302"/>
      <c r="E758" s="302"/>
      <c r="F758" s="302"/>
      <c r="G758" s="302"/>
      <c r="H758" s="302"/>
      <c r="I758" s="302"/>
      <c r="J758" s="302"/>
      <c r="K758" s="302"/>
      <c r="L758" s="302"/>
      <c r="M758" s="302"/>
      <c r="N758" s="302"/>
      <c r="O758" s="302"/>
      <c r="P758" s="302"/>
      <c r="Q758" s="302"/>
      <c r="R758" s="302"/>
      <c r="S758" s="302"/>
      <c r="T758" s="413"/>
      <c r="U758" s="302"/>
      <c r="V758" s="302"/>
      <c r="W758" s="302"/>
      <c r="X758" s="302"/>
      <c r="Y758" s="302"/>
      <c r="Z758" s="302"/>
      <c r="AA758" s="302"/>
    </row>
    <row r="759" spans="1:27" ht="16" x14ac:dyDescent="0.2">
      <c r="A759" s="302"/>
      <c r="B759" s="302"/>
      <c r="C759" s="302"/>
      <c r="D759" s="302"/>
      <c r="E759" s="302"/>
      <c r="F759" s="302"/>
      <c r="G759" s="302"/>
      <c r="H759" s="302"/>
      <c r="I759" s="302"/>
      <c r="J759" s="302"/>
      <c r="K759" s="302"/>
      <c r="L759" s="302"/>
      <c r="M759" s="302"/>
      <c r="N759" s="302"/>
      <c r="O759" s="302"/>
      <c r="P759" s="302"/>
      <c r="Q759" s="302"/>
      <c r="R759" s="302"/>
      <c r="S759" s="302"/>
      <c r="T759" s="413"/>
      <c r="U759" s="302"/>
      <c r="V759" s="302"/>
      <c r="W759" s="302"/>
      <c r="X759" s="302"/>
      <c r="Y759" s="302"/>
      <c r="Z759" s="302"/>
      <c r="AA759" s="302"/>
    </row>
    <row r="760" spans="1:27" ht="16" x14ac:dyDescent="0.2">
      <c r="A760" s="302"/>
      <c r="B760" s="302"/>
      <c r="C760" s="302"/>
      <c r="D760" s="302"/>
      <c r="E760" s="302"/>
      <c r="F760" s="302"/>
      <c r="G760" s="302"/>
      <c r="H760" s="302"/>
      <c r="I760" s="302"/>
      <c r="J760" s="302"/>
      <c r="K760" s="302"/>
      <c r="L760" s="302"/>
      <c r="M760" s="302"/>
      <c r="N760" s="302"/>
      <c r="O760" s="302"/>
      <c r="P760" s="302"/>
      <c r="Q760" s="302"/>
      <c r="R760" s="302"/>
      <c r="S760" s="302"/>
      <c r="T760" s="413"/>
      <c r="U760" s="302"/>
      <c r="V760" s="302"/>
      <c r="W760" s="302"/>
      <c r="X760" s="302"/>
      <c r="Y760" s="302"/>
      <c r="Z760" s="302"/>
      <c r="AA760" s="302"/>
    </row>
    <row r="761" spans="1:27" ht="16" x14ac:dyDescent="0.2">
      <c r="A761" s="302"/>
      <c r="B761" s="302"/>
      <c r="C761" s="302"/>
      <c r="D761" s="302"/>
      <c r="E761" s="302"/>
      <c r="F761" s="302"/>
      <c r="G761" s="302"/>
      <c r="H761" s="302"/>
      <c r="I761" s="302"/>
      <c r="J761" s="302"/>
      <c r="K761" s="302"/>
      <c r="L761" s="302"/>
      <c r="M761" s="302"/>
      <c r="N761" s="302"/>
      <c r="O761" s="302"/>
      <c r="P761" s="302"/>
      <c r="Q761" s="302"/>
      <c r="R761" s="302"/>
      <c r="S761" s="302"/>
      <c r="T761" s="413"/>
      <c r="U761" s="302"/>
      <c r="V761" s="302"/>
      <c r="W761" s="302"/>
      <c r="X761" s="302"/>
      <c r="Y761" s="302"/>
      <c r="Z761" s="302"/>
      <c r="AA761" s="302"/>
    </row>
    <row r="762" spans="1:27" ht="16" x14ac:dyDescent="0.2">
      <c r="A762" s="302"/>
      <c r="B762" s="302"/>
      <c r="C762" s="302"/>
      <c r="D762" s="302"/>
      <c r="E762" s="302"/>
      <c r="F762" s="302"/>
      <c r="G762" s="302"/>
      <c r="H762" s="302"/>
      <c r="I762" s="302"/>
      <c r="J762" s="302"/>
      <c r="K762" s="302"/>
      <c r="L762" s="302"/>
      <c r="M762" s="302"/>
      <c r="N762" s="302"/>
      <c r="O762" s="302"/>
      <c r="P762" s="302"/>
      <c r="Q762" s="302"/>
      <c r="R762" s="302"/>
      <c r="S762" s="302"/>
      <c r="T762" s="413"/>
      <c r="U762" s="302"/>
      <c r="V762" s="302"/>
      <c r="W762" s="302"/>
      <c r="X762" s="302"/>
      <c r="Y762" s="302"/>
      <c r="Z762" s="302"/>
      <c r="AA762" s="302"/>
    </row>
    <row r="763" spans="1:27" ht="16" x14ac:dyDescent="0.2">
      <c r="A763" s="302"/>
      <c r="B763" s="302"/>
      <c r="C763" s="302"/>
      <c r="D763" s="302"/>
      <c r="E763" s="302"/>
      <c r="F763" s="302"/>
      <c r="G763" s="302"/>
      <c r="H763" s="302"/>
      <c r="I763" s="302"/>
      <c r="J763" s="302"/>
      <c r="K763" s="302"/>
      <c r="L763" s="302"/>
      <c r="M763" s="302"/>
      <c r="N763" s="302"/>
      <c r="O763" s="302"/>
      <c r="P763" s="302"/>
      <c r="Q763" s="302"/>
      <c r="R763" s="302"/>
      <c r="S763" s="302"/>
      <c r="T763" s="413"/>
      <c r="U763" s="302"/>
      <c r="V763" s="302"/>
      <c r="W763" s="302"/>
      <c r="X763" s="302"/>
      <c r="Y763" s="302"/>
      <c r="Z763" s="302"/>
      <c r="AA763" s="302"/>
    </row>
    <row r="764" spans="1:27" ht="16" x14ac:dyDescent="0.2">
      <c r="A764" s="302"/>
      <c r="B764" s="302"/>
      <c r="C764" s="302"/>
      <c r="D764" s="302"/>
      <c r="E764" s="302"/>
      <c r="F764" s="302"/>
      <c r="G764" s="302"/>
      <c r="H764" s="302"/>
      <c r="I764" s="302"/>
      <c r="J764" s="302"/>
      <c r="K764" s="302"/>
      <c r="L764" s="302"/>
      <c r="M764" s="302"/>
      <c r="N764" s="302"/>
      <c r="O764" s="302"/>
      <c r="P764" s="302"/>
      <c r="Q764" s="302"/>
      <c r="R764" s="302"/>
      <c r="S764" s="302"/>
      <c r="T764" s="413"/>
      <c r="U764" s="302"/>
      <c r="V764" s="302"/>
      <c r="W764" s="302"/>
      <c r="X764" s="302"/>
      <c r="Y764" s="302"/>
      <c r="Z764" s="302"/>
      <c r="AA764" s="302"/>
    </row>
    <row r="765" spans="1:27" ht="16" x14ac:dyDescent="0.2">
      <c r="A765" s="302"/>
      <c r="B765" s="302"/>
      <c r="C765" s="302"/>
      <c r="D765" s="302"/>
      <c r="E765" s="302"/>
      <c r="F765" s="302"/>
      <c r="G765" s="302"/>
      <c r="H765" s="302"/>
      <c r="I765" s="302"/>
      <c r="J765" s="302"/>
      <c r="K765" s="302"/>
      <c r="L765" s="302"/>
      <c r="M765" s="302"/>
      <c r="N765" s="302"/>
      <c r="O765" s="302"/>
      <c r="P765" s="302"/>
      <c r="Q765" s="302"/>
      <c r="R765" s="302"/>
      <c r="S765" s="302"/>
      <c r="T765" s="413"/>
      <c r="U765" s="302"/>
      <c r="V765" s="302"/>
      <c r="W765" s="302"/>
      <c r="X765" s="302"/>
      <c r="Y765" s="302"/>
      <c r="Z765" s="302"/>
      <c r="AA765" s="302"/>
    </row>
    <row r="766" spans="1:27" ht="16" x14ac:dyDescent="0.2">
      <c r="A766" s="302"/>
      <c r="B766" s="302"/>
      <c r="C766" s="302"/>
      <c r="D766" s="302"/>
      <c r="E766" s="302"/>
      <c r="F766" s="302"/>
      <c r="G766" s="302"/>
      <c r="H766" s="302"/>
      <c r="I766" s="302"/>
      <c r="J766" s="302"/>
      <c r="K766" s="302"/>
      <c r="L766" s="302"/>
      <c r="M766" s="302"/>
      <c r="N766" s="302"/>
      <c r="O766" s="302"/>
      <c r="P766" s="302"/>
      <c r="Q766" s="302"/>
      <c r="R766" s="302"/>
      <c r="S766" s="302"/>
      <c r="T766" s="413"/>
      <c r="U766" s="302"/>
      <c r="V766" s="302"/>
      <c r="W766" s="302"/>
      <c r="X766" s="302"/>
      <c r="Y766" s="302"/>
      <c r="Z766" s="302"/>
      <c r="AA766" s="302"/>
    </row>
    <row r="767" spans="1:27" ht="16" x14ac:dyDescent="0.2">
      <c r="A767" s="302"/>
      <c r="B767" s="302"/>
      <c r="C767" s="302"/>
      <c r="D767" s="302"/>
      <c r="E767" s="302"/>
      <c r="F767" s="302"/>
      <c r="G767" s="302"/>
      <c r="H767" s="302"/>
      <c r="I767" s="302"/>
      <c r="J767" s="302"/>
      <c r="K767" s="302"/>
      <c r="L767" s="302"/>
      <c r="M767" s="302"/>
      <c r="N767" s="302"/>
      <c r="O767" s="302"/>
      <c r="P767" s="302"/>
      <c r="Q767" s="302"/>
      <c r="R767" s="302"/>
      <c r="S767" s="302"/>
      <c r="T767" s="413"/>
      <c r="U767" s="302"/>
      <c r="V767" s="302"/>
      <c r="W767" s="302"/>
      <c r="X767" s="302"/>
      <c r="Y767" s="302"/>
      <c r="Z767" s="302"/>
      <c r="AA767" s="302"/>
    </row>
    <row r="768" spans="1:27" ht="16" x14ac:dyDescent="0.2">
      <c r="A768" s="302"/>
      <c r="B768" s="302"/>
      <c r="C768" s="302"/>
      <c r="D768" s="302"/>
      <c r="E768" s="302"/>
      <c r="F768" s="302"/>
      <c r="G768" s="302"/>
      <c r="H768" s="302"/>
      <c r="I768" s="302"/>
      <c r="J768" s="302"/>
      <c r="K768" s="302"/>
      <c r="L768" s="302"/>
      <c r="M768" s="302"/>
      <c r="N768" s="302"/>
      <c r="O768" s="302"/>
      <c r="P768" s="302"/>
      <c r="Q768" s="302"/>
      <c r="R768" s="302"/>
      <c r="S768" s="302"/>
      <c r="T768" s="413"/>
      <c r="U768" s="302"/>
      <c r="V768" s="302"/>
      <c r="W768" s="302"/>
      <c r="X768" s="302"/>
      <c r="Y768" s="302"/>
      <c r="Z768" s="302"/>
      <c r="AA768" s="302"/>
    </row>
    <row r="769" spans="1:27" ht="16" x14ac:dyDescent="0.2">
      <c r="A769" s="302"/>
      <c r="B769" s="302"/>
      <c r="C769" s="302"/>
      <c r="D769" s="302"/>
      <c r="E769" s="302"/>
      <c r="F769" s="302"/>
      <c r="G769" s="302"/>
      <c r="H769" s="302"/>
      <c r="I769" s="302"/>
      <c r="J769" s="302"/>
      <c r="K769" s="302"/>
      <c r="L769" s="302"/>
      <c r="M769" s="302"/>
      <c r="N769" s="302"/>
      <c r="O769" s="302"/>
      <c r="P769" s="302"/>
      <c r="Q769" s="302"/>
      <c r="R769" s="302"/>
      <c r="S769" s="302"/>
      <c r="T769" s="413"/>
      <c r="U769" s="302"/>
      <c r="V769" s="302"/>
      <c r="W769" s="302"/>
      <c r="X769" s="302"/>
      <c r="Y769" s="302"/>
      <c r="Z769" s="302"/>
      <c r="AA769" s="302"/>
    </row>
    <row r="770" spans="1:27" ht="16" x14ac:dyDescent="0.2">
      <c r="A770" s="302"/>
      <c r="B770" s="302"/>
      <c r="C770" s="302"/>
      <c r="D770" s="302"/>
      <c r="E770" s="302"/>
      <c r="F770" s="302"/>
      <c r="G770" s="302"/>
      <c r="H770" s="302"/>
      <c r="I770" s="302"/>
      <c r="J770" s="302"/>
      <c r="K770" s="302"/>
      <c r="L770" s="302"/>
      <c r="M770" s="302"/>
      <c r="N770" s="302"/>
      <c r="O770" s="302"/>
      <c r="P770" s="302"/>
      <c r="Q770" s="302"/>
      <c r="R770" s="302"/>
      <c r="S770" s="302"/>
      <c r="T770" s="413"/>
      <c r="U770" s="302"/>
      <c r="V770" s="302"/>
      <c r="W770" s="302"/>
      <c r="X770" s="302"/>
      <c r="Y770" s="302"/>
      <c r="Z770" s="302"/>
      <c r="AA770" s="302"/>
    </row>
    <row r="771" spans="1:27" ht="16" x14ac:dyDescent="0.2">
      <c r="A771" s="302"/>
      <c r="B771" s="302"/>
      <c r="C771" s="302"/>
      <c r="D771" s="302"/>
      <c r="E771" s="302"/>
      <c r="F771" s="302"/>
      <c r="G771" s="302"/>
      <c r="H771" s="302"/>
      <c r="I771" s="302"/>
      <c r="J771" s="302"/>
      <c r="K771" s="302"/>
      <c r="L771" s="302"/>
      <c r="M771" s="302"/>
      <c r="N771" s="302"/>
      <c r="O771" s="302"/>
      <c r="P771" s="302"/>
      <c r="Q771" s="302"/>
      <c r="R771" s="302"/>
      <c r="S771" s="302"/>
      <c r="T771" s="413"/>
      <c r="U771" s="302"/>
      <c r="V771" s="302"/>
      <c r="W771" s="302"/>
      <c r="X771" s="302"/>
      <c r="Y771" s="302"/>
      <c r="Z771" s="302"/>
      <c r="AA771" s="302"/>
    </row>
    <row r="772" spans="1:27" ht="16" x14ac:dyDescent="0.2">
      <c r="A772" s="302"/>
      <c r="B772" s="302"/>
      <c r="C772" s="302"/>
      <c r="D772" s="302"/>
      <c r="E772" s="302"/>
      <c r="F772" s="302"/>
      <c r="G772" s="302"/>
      <c r="H772" s="302"/>
      <c r="I772" s="302"/>
      <c r="J772" s="302"/>
      <c r="K772" s="302"/>
      <c r="L772" s="302"/>
      <c r="M772" s="302"/>
      <c r="N772" s="302"/>
      <c r="O772" s="302"/>
      <c r="P772" s="302"/>
      <c r="Q772" s="302"/>
      <c r="R772" s="302"/>
      <c r="S772" s="302"/>
      <c r="T772" s="413"/>
      <c r="U772" s="302"/>
      <c r="V772" s="302"/>
      <c r="W772" s="302"/>
      <c r="X772" s="302"/>
      <c r="Y772" s="302"/>
      <c r="Z772" s="302"/>
      <c r="AA772" s="302"/>
    </row>
    <row r="773" spans="1:27" ht="16" x14ac:dyDescent="0.2">
      <c r="A773" s="302"/>
      <c r="B773" s="302"/>
      <c r="C773" s="302"/>
      <c r="D773" s="302"/>
      <c r="E773" s="302"/>
      <c r="F773" s="302"/>
      <c r="G773" s="302"/>
      <c r="H773" s="302"/>
      <c r="I773" s="302"/>
      <c r="J773" s="302"/>
      <c r="K773" s="302"/>
      <c r="L773" s="302"/>
      <c r="M773" s="302"/>
      <c r="N773" s="302"/>
      <c r="O773" s="302"/>
      <c r="P773" s="302"/>
      <c r="Q773" s="302"/>
      <c r="R773" s="302"/>
      <c r="S773" s="302"/>
      <c r="T773" s="413"/>
      <c r="U773" s="302"/>
      <c r="V773" s="302"/>
      <c r="W773" s="302"/>
      <c r="X773" s="302"/>
      <c r="Y773" s="302"/>
      <c r="Z773" s="302"/>
      <c r="AA773" s="302"/>
    </row>
    <row r="774" spans="1:27" ht="16" x14ac:dyDescent="0.2">
      <c r="A774" s="302"/>
      <c r="B774" s="302"/>
      <c r="C774" s="302"/>
      <c r="D774" s="302"/>
      <c r="E774" s="302"/>
      <c r="F774" s="302"/>
      <c r="G774" s="302"/>
      <c r="H774" s="302"/>
      <c r="I774" s="302"/>
      <c r="J774" s="302"/>
      <c r="K774" s="302"/>
      <c r="L774" s="302"/>
      <c r="M774" s="302"/>
      <c r="N774" s="302"/>
      <c r="O774" s="302"/>
      <c r="P774" s="302"/>
      <c r="Q774" s="302"/>
      <c r="R774" s="302"/>
      <c r="S774" s="302"/>
      <c r="T774" s="413"/>
      <c r="U774" s="302"/>
      <c r="V774" s="302"/>
      <c r="W774" s="302"/>
      <c r="X774" s="302"/>
      <c r="Y774" s="302"/>
      <c r="Z774" s="302"/>
      <c r="AA774" s="302"/>
    </row>
    <row r="775" spans="1:27" ht="16" x14ac:dyDescent="0.2">
      <c r="A775" s="302"/>
      <c r="B775" s="302"/>
      <c r="C775" s="302"/>
      <c r="D775" s="302"/>
      <c r="E775" s="302"/>
      <c r="F775" s="302"/>
      <c r="G775" s="302"/>
      <c r="H775" s="302"/>
      <c r="I775" s="302"/>
      <c r="J775" s="302"/>
      <c r="K775" s="302"/>
      <c r="L775" s="302"/>
      <c r="M775" s="302"/>
      <c r="N775" s="302"/>
      <c r="O775" s="302"/>
      <c r="P775" s="302"/>
      <c r="Q775" s="302"/>
      <c r="R775" s="302"/>
      <c r="S775" s="302"/>
      <c r="T775" s="413"/>
      <c r="U775" s="302"/>
      <c r="V775" s="302"/>
      <c r="W775" s="302"/>
      <c r="X775" s="302"/>
      <c r="Y775" s="302"/>
      <c r="Z775" s="302"/>
      <c r="AA775" s="302"/>
    </row>
    <row r="776" spans="1:27" ht="16" x14ac:dyDescent="0.2">
      <c r="A776" s="302"/>
      <c r="B776" s="302"/>
      <c r="C776" s="302"/>
      <c r="D776" s="302"/>
      <c r="E776" s="302"/>
      <c r="F776" s="302"/>
      <c r="G776" s="302"/>
      <c r="H776" s="302"/>
      <c r="I776" s="302"/>
      <c r="J776" s="302"/>
      <c r="K776" s="302"/>
      <c r="L776" s="302"/>
      <c r="M776" s="302"/>
      <c r="N776" s="302"/>
      <c r="O776" s="302"/>
      <c r="P776" s="302"/>
      <c r="Q776" s="302"/>
      <c r="R776" s="302"/>
      <c r="S776" s="302"/>
      <c r="T776" s="413"/>
      <c r="U776" s="302"/>
      <c r="V776" s="302"/>
      <c r="W776" s="302"/>
      <c r="X776" s="302"/>
      <c r="Y776" s="302"/>
      <c r="Z776" s="302"/>
      <c r="AA776" s="302"/>
    </row>
    <row r="777" spans="1:27" ht="16" x14ac:dyDescent="0.2">
      <c r="A777" s="302"/>
      <c r="B777" s="302"/>
      <c r="C777" s="302"/>
      <c r="D777" s="302"/>
      <c r="E777" s="302"/>
      <c r="F777" s="302"/>
      <c r="G777" s="302"/>
      <c r="H777" s="302"/>
      <c r="I777" s="302"/>
      <c r="J777" s="302"/>
      <c r="K777" s="302"/>
      <c r="L777" s="302"/>
      <c r="M777" s="302"/>
      <c r="N777" s="302"/>
      <c r="O777" s="302"/>
      <c r="P777" s="302"/>
      <c r="Q777" s="302"/>
      <c r="R777" s="302"/>
      <c r="S777" s="302"/>
      <c r="T777" s="413"/>
      <c r="U777" s="302"/>
      <c r="V777" s="302"/>
      <c r="W777" s="302"/>
      <c r="X777" s="302"/>
      <c r="Y777" s="302"/>
      <c r="Z777" s="302"/>
      <c r="AA777" s="302"/>
    </row>
    <row r="778" spans="1:27" ht="16" x14ac:dyDescent="0.2">
      <c r="A778" s="302"/>
      <c r="B778" s="302"/>
      <c r="C778" s="302"/>
      <c r="D778" s="302"/>
      <c r="E778" s="302"/>
      <c r="F778" s="302"/>
      <c r="G778" s="302"/>
      <c r="H778" s="302"/>
      <c r="I778" s="302"/>
      <c r="J778" s="302"/>
      <c r="K778" s="302"/>
      <c r="L778" s="302"/>
      <c r="M778" s="302"/>
      <c r="N778" s="302"/>
      <c r="O778" s="302"/>
      <c r="P778" s="302"/>
      <c r="Q778" s="302"/>
      <c r="R778" s="302"/>
      <c r="S778" s="302"/>
      <c r="T778" s="413"/>
      <c r="U778" s="302"/>
      <c r="V778" s="302"/>
      <c r="W778" s="302"/>
      <c r="X778" s="302"/>
      <c r="Y778" s="302"/>
      <c r="Z778" s="302"/>
      <c r="AA778" s="302"/>
    </row>
    <row r="779" spans="1:27" ht="16" x14ac:dyDescent="0.2">
      <c r="A779" s="302"/>
      <c r="B779" s="302"/>
      <c r="C779" s="302"/>
      <c r="D779" s="302"/>
      <c r="E779" s="302"/>
      <c r="F779" s="302"/>
      <c r="G779" s="302"/>
      <c r="H779" s="302"/>
      <c r="I779" s="302"/>
      <c r="J779" s="302"/>
      <c r="K779" s="302"/>
      <c r="L779" s="302"/>
      <c r="M779" s="302"/>
      <c r="N779" s="302"/>
      <c r="O779" s="302"/>
      <c r="P779" s="302"/>
      <c r="Q779" s="302"/>
      <c r="R779" s="302"/>
      <c r="S779" s="302"/>
      <c r="T779" s="413"/>
      <c r="U779" s="302"/>
      <c r="V779" s="302"/>
      <c r="W779" s="302"/>
      <c r="X779" s="302"/>
      <c r="Y779" s="302"/>
      <c r="Z779" s="302"/>
      <c r="AA779" s="302"/>
    </row>
    <row r="780" spans="1:27" ht="16" x14ac:dyDescent="0.2">
      <c r="A780" s="302"/>
      <c r="B780" s="302"/>
      <c r="C780" s="302"/>
      <c r="D780" s="302"/>
      <c r="E780" s="302"/>
      <c r="F780" s="302"/>
      <c r="G780" s="302"/>
      <c r="H780" s="302"/>
      <c r="I780" s="302"/>
      <c r="J780" s="302"/>
      <c r="K780" s="302"/>
      <c r="L780" s="302"/>
      <c r="M780" s="302"/>
      <c r="N780" s="302"/>
      <c r="O780" s="302"/>
      <c r="P780" s="302"/>
      <c r="Q780" s="302"/>
      <c r="R780" s="302"/>
      <c r="S780" s="302"/>
      <c r="T780" s="413"/>
      <c r="U780" s="302"/>
      <c r="V780" s="302"/>
      <c r="W780" s="302"/>
      <c r="X780" s="302"/>
      <c r="Y780" s="302"/>
      <c r="Z780" s="302"/>
      <c r="AA780" s="302"/>
    </row>
    <row r="781" spans="1:27" ht="16" x14ac:dyDescent="0.2">
      <c r="A781" s="302"/>
      <c r="B781" s="302"/>
      <c r="C781" s="302"/>
      <c r="D781" s="302"/>
      <c r="E781" s="302"/>
      <c r="F781" s="302"/>
      <c r="G781" s="302"/>
      <c r="H781" s="302"/>
      <c r="I781" s="302"/>
      <c r="J781" s="302"/>
      <c r="K781" s="302"/>
      <c r="L781" s="302"/>
      <c r="M781" s="302"/>
      <c r="N781" s="302"/>
      <c r="O781" s="302"/>
      <c r="P781" s="302"/>
      <c r="Q781" s="302"/>
      <c r="R781" s="302"/>
      <c r="S781" s="302"/>
      <c r="T781" s="413"/>
      <c r="U781" s="302"/>
      <c r="V781" s="302"/>
      <c r="W781" s="302"/>
      <c r="X781" s="302"/>
      <c r="Y781" s="302"/>
      <c r="Z781" s="302"/>
      <c r="AA781" s="302"/>
    </row>
    <row r="782" spans="1:27" ht="16" x14ac:dyDescent="0.2">
      <c r="A782" s="302"/>
      <c r="B782" s="302"/>
      <c r="C782" s="302"/>
      <c r="D782" s="302"/>
      <c r="E782" s="302"/>
      <c r="F782" s="302"/>
      <c r="G782" s="302"/>
      <c r="H782" s="302"/>
      <c r="I782" s="302"/>
      <c r="J782" s="302"/>
      <c r="K782" s="302"/>
      <c r="L782" s="302"/>
      <c r="M782" s="302"/>
      <c r="N782" s="302"/>
      <c r="O782" s="302"/>
      <c r="P782" s="302"/>
      <c r="Q782" s="302"/>
      <c r="R782" s="302"/>
      <c r="S782" s="302"/>
      <c r="T782" s="413"/>
      <c r="U782" s="302"/>
      <c r="V782" s="302"/>
      <c r="W782" s="302"/>
      <c r="X782" s="302"/>
      <c r="Y782" s="302"/>
      <c r="Z782" s="302"/>
      <c r="AA782" s="302"/>
    </row>
    <row r="783" spans="1:27" ht="16" x14ac:dyDescent="0.2">
      <c r="A783" s="302"/>
      <c r="B783" s="302"/>
      <c r="C783" s="302"/>
      <c r="D783" s="302"/>
      <c r="E783" s="302"/>
      <c r="F783" s="302"/>
      <c r="G783" s="302"/>
      <c r="H783" s="302"/>
      <c r="I783" s="302"/>
      <c r="J783" s="302"/>
      <c r="K783" s="302"/>
      <c r="L783" s="302"/>
      <c r="M783" s="302"/>
      <c r="N783" s="302"/>
      <c r="O783" s="302"/>
      <c r="P783" s="302"/>
      <c r="Q783" s="302"/>
      <c r="R783" s="302"/>
      <c r="S783" s="302"/>
      <c r="T783" s="413"/>
      <c r="U783" s="302"/>
      <c r="V783" s="302"/>
      <c r="W783" s="302"/>
      <c r="X783" s="302"/>
      <c r="Y783" s="302"/>
      <c r="Z783" s="302"/>
      <c r="AA783" s="302"/>
    </row>
    <row r="784" spans="1:27" ht="16" x14ac:dyDescent="0.2">
      <c r="A784" s="302"/>
      <c r="B784" s="302"/>
      <c r="C784" s="302"/>
      <c r="D784" s="302"/>
      <c r="E784" s="302"/>
      <c r="F784" s="302"/>
      <c r="G784" s="302"/>
      <c r="H784" s="302"/>
      <c r="I784" s="302"/>
      <c r="J784" s="302"/>
      <c r="K784" s="302"/>
      <c r="L784" s="302"/>
      <c r="M784" s="302"/>
      <c r="N784" s="302"/>
      <c r="O784" s="302"/>
      <c r="P784" s="302"/>
      <c r="Q784" s="302"/>
      <c r="R784" s="302"/>
      <c r="S784" s="302"/>
      <c r="T784" s="413"/>
      <c r="U784" s="302"/>
      <c r="V784" s="302"/>
      <c r="W784" s="302"/>
      <c r="X784" s="302"/>
      <c r="Y784" s="302"/>
      <c r="Z784" s="302"/>
      <c r="AA784" s="302"/>
    </row>
    <row r="785" spans="1:27" ht="16" x14ac:dyDescent="0.2">
      <c r="A785" s="302"/>
      <c r="B785" s="302"/>
      <c r="C785" s="302"/>
      <c r="D785" s="302"/>
      <c r="E785" s="302"/>
      <c r="F785" s="302"/>
      <c r="G785" s="302"/>
      <c r="H785" s="302"/>
      <c r="I785" s="302"/>
      <c r="J785" s="302"/>
      <c r="K785" s="302"/>
      <c r="L785" s="302"/>
      <c r="M785" s="302"/>
      <c r="N785" s="302"/>
      <c r="O785" s="302"/>
      <c r="P785" s="302"/>
      <c r="Q785" s="302"/>
      <c r="R785" s="302"/>
      <c r="S785" s="302"/>
      <c r="T785" s="413"/>
      <c r="U785" s="302"/>
      <c r="V785" s="302"/>
      <c r="W785" s="302"/>
      <c r="X785" s="302"/>
      <c r="Y785" s="302"/>
      <c r="Z785" s="302"/>
      <c r="AA785" s="302"/>
    </row>
    <row r="786" spans="1:27" ht="16" x14ac:dyDescent="0.2">
      <c r="A786" s="302"/>
      <c r="B786" s="302"/>
      <c r="C786" s="302"/>
      <c r="D786" s="302"/>
      <c r="E786" s="302"/>
      <c r="F786" s="302"/>
      <c r="G786" s="302"/>
      <c r="H786" s="302"/>
      <c r="I786" s="302"/>
      <c r="J786" s="302"/>
      <c r="K786" s="302"/>
      <c r="L786" s="302"/>
      <c r="M786" s="302"/>
      <c r="N786" s="302"/>
      <c r="O786" s="302"/>
      <c r="P786" s="302"/>
      <c r="Q786" s="302"/>
      <c r="R786" s="302"/>
      <c r="S786" s="302"/>
      <c r="T786" s="413"/>
      <c r="U786" s="302"/>
      <c r="V786" s="302"/>
      <c r="W786" s="302"/>
      <c r="X786" s="302"/>
      <c r="Y786" s="302"/>
      <c r="Z786" s="302"/>
      <c r="AA786" s="302"/>
    </row>
    <row r="787" spans="1:27" ht="16" x14ac:dyDescent="0.2">
      <c r="A787" s="302"/>
      <c r="B787" s="302"/>
      <c r="C787" s="302"/>
      <c r="D787" s="302"/>
      <c r="E787" s="302"/>
      <c r="F787" s="302"/>
      <c r="G787" s="302"/>
      <c r="H787" s="302"/>
      <c r="I787" s="302"/>
      <c r="J787" s="302"/>
      <c r="K787" s="302"/>
      <c r="L787" s="302"/>
      <c r="M787" s="302"/>
      <c r="N787" s="302"/>
      <c r="O787" s="302"/>
      <c r="P787" s="302"/>
      <c r="Q787" s="302"/>
      <c r="R787" s="302"/>
      <c r="S787" s="302"/>
      <c r="T787" s="413"/>
      <c r="U787" s="302"/>
      <c r="V787" s="302"/>
      <c r="W787" s="302"/>
      <c r="X787" s="302"/>
      <c r="Y787" s="302"/>
      <c r="Z787" s="302"/>
      <c r="AA787" s="302"/>
    </row>
    <row r="788" spans="1:27" ht="16" x14ac:dyDescent="0.2">
      <c r="A788" s="302"/>
      <c r="B788" s="302"/>
      <c r="C788" s="302"/>
      <c r="D788" s="302"/>
      <c r="E788" s="302"/>
      <c r="F788" s="302"/>
      <c r="G788" s="302"/>
      <c r="H788" s="302"/>
      <c r="I788" s="302"/>
      <c r="J788" s="302"/>
      <c r="K788" s="302"/>
      <c r="L788" s="302"/>
      <c r="M788" s="302"/>
      <c r="N788" s="302"/>
      <c r="O788" s="302"/>
      <c r="P788" s="302"/>
      <c r="Q788" s="302"/>
      <c r="R788" s="302"/>
      <c r="S788" s="302"/>
      <c r="T788" s="413"/>
      <c r="U788" s="302"/>
      <c r="V788" s="302"/>
      <c r="W788" s="302"/>
      <c r="X788" s="302"/>
      <c r="Y788" s="302"/>
      <c r="Z788" s="302"/>
      <c r="AA788" s="302"/>
    </row>
    <row r="789" spans="1:27" ht="16" x14ac:dyDescent="0.2">
      <c r="A789" s="302"/>
      <c r="B789" s="302"/>
      <c r="C789" s="302"/>
      <c r="D789" s="302"/>
      <c r="E789" s="302"/>
      <c r="F789" s="302"/>
      <c r="G789" s="302"/>
      <c r="H789" s="302"/>
      <c r="I789" s="302"/>
      <c r="J789" s="302"/>
      <c r="K789" s="302"/>
      <c r="L789" s="302"/>
      <c r="M789" s="302"/>
      <c r="N789" s="302"/>
      <c r="O789" s="302"/>
      <c r="P789" s="302"/>
      <c r="Q789" s="302"/>
      <c r="R789" s="302"/>
      <c r="S789" s="302"/>
      <c r="T789" s="413"/>
      <c r="U789" s="302"/>
      <c r="V789" s="302"/>
      <c r="W789" s="302"/>
      <c r="X789" s="302"/>
      <c r="Y789" s="302"/>
      <c r="Z789" s="302"/>
      <c r="AA789" s="302"/>
    </row>
    <row r="790" spans="1:27" ht="16" x14ac:dyDescent="0.2">
      <c r="A790" s="302"/>
      <c r="B790" s="302"/>
      <c r="C790" s="302"/>
      <c r="D790" s="302"/>
      <c r="E790" s="302"/>
      <c r="F790" s="302"/>
      <c r="G790" s="302"/>
      <c r="H790" s="302"/>
      <c r="I790" s="302"/>
      <c r="J790" s="302"/>
      <c r="K790" s="302"/>
      <c r="L790" s="302"/>
      <c r="M790" s="302"/>
      <c r="N790" s="302"/>
      <c r="O790" s="302"/>
      <c r="P790" s="302"/>
      <c r="Q790" s="302"/>
      <c r="R790" s="302"/>
      <c r="S790" s="302"/>
      <c r="T790" s="413"/>
      <c r="U790" s="302"/>
      <c r="V790" s="302"/>
      <c r="W790" s="302"/>
      <c r="X790" s="302"/>
      <c r="Y790" s="302"/>
      <c r="Z790" s="302"/>
      <c r="AA790" s="302"/>
    </row>
    <row r="791" spans="1:27" ht="16" x14ac:dyDescent="0.2">
      <c r="A791" s="302"/>
      <c r="B791" s="302"/>
      <c r="C791" s="302"/>
      <c r="D791" s="302"/>
      <c r="E791" s="302"/>
      <c r="F791" s="302"/>
      <c r="G791" s="302"/>
      <c r="H791" s="302"/>
      <c r="I791" s="302"/>
      <c r="J791" s="302"/>
      <c r="K791" s="302"/>
      <c r="L791" s="302"/>
      <c r="M791" s="302"/>
      <c r="N791" s="302"/>
      <c r="O791" s="302"/>
      <c r="P791" s="302"/>
      <c r="Q791" s="302"/>
      <c r="R791" s="302"/>
      <c r="S791" s="302"/>
      <c r="T791" s="413"/>
      <c r="U791" s="302"/>
      <c r="V791" s="302"/>
      <c r="W791" s="302"/>
      <c r="X791" s="302"/>
      <c r="Y791" s="302"/>
      <c r="Z791" s="302"/>
      <c r="AA791" s="302"/>
    </row>
    <row r="792" spans="1:27" ht="16" x14ac:dyDescent="0.2">
      <c r="A792" s="302"/>
      <c r="B792" s="302"/>
      <c r="C792" s="302"/>
      <c r="D792" s="302"/>
      <c r="E792" s="302"/>
      <c r="F792" s="302"/>
      <c r="G792" s="302"/>
      <c r="H792" s="302"/>
      <c r="I792" s="302"/>
      <c r="J792" s="302"/>
      <c r="K792" s="302"/>
      <c r="L792" s="302"/>
      <c r="M792" s="302"/>
      <c r="N792" s="302"/>
      <c r="O792" s="302"/>
      <c r="P792" s="302"/>
      <c r="Q792" s="302"/>
      <c r="R792" s="302"/>
      <c r="S792" s="302"/>
      <c r="T792" s="413"/>
      <c r="U792" s="302"/>
      <c r="V792" s="302"/>
      <c r="W792" s="302"/>
      <c r="X792" s="302"/>
      <c r="Y792" s="302"/>
      <c r="Z792" s="302"/>
      <c r="AA792" s="302"/>
    </row>
    <row r="793" spans="1:27" ht="16" x14ac:dyDescent="0.2">
      <c r="A793" s="302"/>
      <c r="B793" s="302"/>
      <c r="C793" s="302"/>
      <c r="D793" s="302"/>
      <c r="E793" s="302"/>
      <c r="F793" s="302"/>
      <c r="G793" s="302"/>
      <c r="H793" s="302"/>
      <c r="I793" s="302"/>
      <c r="J793" s="302"/>
      <c r="K793" s="302"/>
      <c r="L793" s="302"/>
      <c r="M793" s="302"/>
      <c r="N793" s="302"/>
      <c r="O793" s="302"/>
      <c r="P793" s="302"/>
      <c r="Q793" s="302"/>
      <c r="R793" s="302"/>
      <c r="S793" s="302"/>
      <c r="T793" s="413"/>
      <c r="U793" s="302"/>
      <c r="V793" s="302"/>
      <c r="W793" s="302"/>
      <c r="X793" s="302"/>
      <c r="Y793" s="302"/>
      <c r="Z793" s="302"/>
      <c r="AA793" s="302"/>
    </row>
    <row r="794" spans="1:27" ht="16" x14ac:dyDescent="0.2">
      <c r="A794" s="302"/>
      <c r="B794" s="302"/>
      <c r="C794" s="302"/>
      <c r="D794" s="302"/>
      <c r="E794" s="302"/>
      <c r="F794" s="302"/>
      <c r="G794" s="302"/>
      <c r="H794" s="302"/>
      <c r="I794" s="302"/>
      <c r="J794" s="302"/>
      <c r="K794" s="302"/>
      <c r="L794" s="302"/>
      <c r="M794" s="302"/>
      <c r="N794" s="302"/>
      <c r="O794" s="302"/>
      <c r="P794" s="302"/>
      <c r="Q794" s="302"/>
      <c r="R794" s="302"/>
      <c r="S794" s="302"/>
      <c r="T794" s="413"/>
      <c r="U794" s="302"/>
      <c r="V794" s="302"/>
      <c r="W794" s="302"/>
      <c r="X794" s="302"/>
      <c r="Y794" s="302"/>
      <c r="Z794" s="302"/>
      <c r="AA794" s="302"/>
    </row>
    <row r="795" spans="1:27" ht="16" x14ac:dyDescent="0.2">
      <c r="A795" s="302"/>
      <c r="B795" s="302"/>
      <c r="C795" s="302"/>
      <c r="D795" s="302"/>
      <c r="E795" s="302"/>
      <c r="F795" s="302"/>
      <c r="G795" s="302"/>
      <c r="H795" s="302"/>
      <c r="I795" s="302"/>
      <c r="J795" s="302"/>
      <c r="K795" s="302"/>
      <c r="L795" s="302"/>
      <c r="M795" s="302"/>
      <c r="N795" s="302"/>
      <c r="O795" s="302"/>
      <c r="P795" s="302"/>
      <c r="Q795" s="302"/>
      <c r="R795" s="302"/>
      <c r="S795" s="302"/>
      <c r="T795" s="413"/>
      <c r="U795" s="302"/>
      <c r="V795" s="302"/>
      <c r="W795" s="302"/>
      <c r="X795" s="302"/>
      <c r="Y795" s="302"/>
      <c r="Z795" s="302"/>
      <c r="AA795" s="302"/>
    </row>
    <row r="796" spans="1:27" ht="16" x14ac:dyDescent="0.2">
      <c r="A796" s="302"/>
      <c r="B796" s="302"/>
      <c r="C796" s="302"/>
      <c r="D796" s="302"/>
      <c r="E796" s="302"/>
      <c r="F796" s="302"/>
      <c r="G796" s="302"/>
      <c r="H796" s="302"/>
      <c r="I796" s="302"/>
      <c r="J796" s="302"/>
      <c r="K796" s="302"/>
      <c r="L796" s="302"/>
      <c r="M796" s="302"/>
      <c r="N796" s="302"/>
      <c r="O796" s="302"/>
      <c r="P796" s="302"/>
      <c r="Q796" s="302"/>
      <c r="R796" s="302"/>
      <c r="S796" s="302"/>
      <c r="T796" s="413"/>
      <c r="U796" s="302"/>
      <c r="V796" s="302"/>
      <c r="W796" s="302"/>
      <c r="X796" s="302"/>
      <c r="Y796" s="302"/>
      <c r="Z796" s="302"/>
      <c r="AA796" s="302"/>
    </row>
    <row r="797" spans="1:27" ht="16" x14ac:dyDescent="0.2">
      <c r="A797" s="302"/>
      <c r="B797" s="302"/>
      <c r="C797" s="302"/>
      <c r="D797" s="302"/>
      <c r="E797" s="302"/>
      <c r="F797" s="302"/>
      <c r="G797" s="302"/>
      <c r="H797" s="302"/>
      <c r="I797" s="302"/>
      <c r="J797" s="302"/>
      <c r="K797" s="302"/>
      <c r="L797" s="302"/>
      <c r="M797" s="302"/>
      <c r="N797" s="302"/>
      <c r="O797" s="302"/>
      <c r="P797" s="302"/>
      <c r="Q797" s="302"/>
      <c r="R797" s="302"/>
      <c r="S797" s="302"/>
      <c r="T797" s="413"/>
      <c r="U797" s="302"/>
      <c r="V797" s="302"/>
      <c r="W797" s="302"/>
      <c r="X797" s="302"/>
      <c r="Y797" s="302"/>
      <c r="Z797" s="302"/>
      <c r="AA797" s="302"/>
    </row>
    <row r="798" spans="1:27" ht="16" x14ac:dyDescent="0.2">
      <c r="A798" s="302"/>
      <c r="B798" s="302"/>
      <c r="C798" s="302"/>
      <c r="D798" s="302"/>
      <c r="E798" s="302"/>
      <c r="F798" s="302"/>
      <c r="G798" s="302"/>
      <c r="H798" s="302"/>
      <c r="I798" s="302"/>
      <c r="J798" s="302"/>
      <c r="K798" s="302"/>
      <c r="L798" s="302"/>
      <c r="M798" s="302"/>
      <c r="N798" s="302"/>
      <c r="O798" s="302"/>
      <c r="P798" s="302"/>
      <c r="Q798" s="302"/>
      <c r="R798" s="302"/>
      <c r="S798" s="302"/>
      <c r="T798" s="413"/>
      <c r="U798" s="302"/>
      <c r="V798" s="302"/>
      <c r="W798" s="302"/>
      <c r="X798" s="302"/>
      <c r="Y798" s="302"/>
      <c r="Z798" s="302"/>
      <c r="AA798" s="302"/>
    </row>
    <row r="799" spans="1:27" ht="16" x14ac:dyDescent="0.2">
      <c r="A799" s="302"/>
      <c r="B799" s="302"/>
      <c r="C799" s="302"/>
      <c r="D799" s="302"/>
      <c r="E799" s="302"/>
      <c r="F799" s="302"/>
      <c r="G799" s="302"/>
      <c r="H799" s="302"/>
      <c r="I799" s="302"/>
      <c r="J799" s="302"/>
      <c r="K799" s="302"/>
      <c r="L799" s="302"/>
      <c r="M799" s="302"/>
      <c r="N799" s="302"/>
      <c r="O799" s="302"/>
      <c r="P799" s="302"/>
      <c r="Q799" s="302"/>
      <c r="R799" s="302"/>
      <c r="S799" s="302"/>
      <c r="T799" s="413"/>
      <c r="U799" s="302"/>
      <c r="V799" s="302"/>
      <c r="W799" s="302"/>
      <c r="X799" s="302"/>
      <c r="Y799" s="302"/>
      <c r="Z799" s="302"/>
      <c r="AA799" s="302"/>
    </row>
    <row r="800" spans="1:27" ht="16" x14ac:dyDescent="0.2">
      <c r="A800" s="302"/>
      <c r="B800" s="302"/>
      <c r="C800" s="302"/>
      <c r="D800" s="302"/>
      <c r="E800" s="302"/>
      <c r="F800" s="302"/>
      <c r="G800" s="302"/>
      <c r="H800" s="302"/>
      <c r="I800" s="302"/>
      <c r="J800" s="302"/>
      <c r="K800" s="302"/>
      <c r="L800" s="302"/>
      <c r="M800" s="302"/>
      <c r="N800" s="302"/>
      <c r="O800" s="302"/>
      <c r="P800" s="302"/>
      <c r="Q800" s="302"/>
      <c r="R800" s="302"/>
      <c r="S800" s="302"/>
      <c r="T800" s="413"/>
      <c r="U800" s="302"/>
      <c r="V800" s="302"/>
      <c r="W800" s="302"/>
      <c r="X800" s="302"/>
      <c r="Y800" s="302"/>
      <c r="Z800" s="302"/>
      <c r="AA800" s="302"/>
    </row>
    <row r="801" spans="1:27" ht="16" x14ac:dyDescent="0.2">
      <c r="A801" s="302"/>
      <c r="B801" s="302"/>
      <c r="C801" s="302"/>
      <c r="D801" s="302"/>
      <c r="E801" s="302"/>
      <c r="F801" s="302"/>
      <c r="G801" s="302"/>
      <c r="H801" s="302"/>
      <c r="I801" s="302"/>
      <c r="J801" s="302"/>
      <c r="K801" s="302"/>
      <c r="L801" s="302"/>
      <c r="M801" s="302"/>
      <c r="N801" s="302"/>
      <c r="O801" s="302"/>
      <c r="P801" s="302"/>
      <c r="Q801" s="302"/>
      <c r="R801" s="302"/>
      <c r="S801" s="302"/>
      <c r="T801" s="413"/>
      <c r="U801" s="302"/>
      <c r="V801" s="302"/>
      <c r="W801" s="302"/>
      <c r="X801" s="302"/>
      <c r="Y801" s="302"/>
      <c r="Z801" s="302"/>
      <c r="AA801" s="302"/>
    </row>
    <row r="802" spans="1:27" ht="16" x14ac:dyDescent="0.2">
      <c r="A802" s="302"/>
      <c r="B802" s="302"/>
      <c r="C802" s="302"/>
      <c r="D802" s="302"/>
      <c r="E802" s="302"/>
      <c r="F802" s="302"/>
      <c r="G802" s="302"/>
      <c r="H802" s="302"/>
      <c r="I802" s="302"/>
      <c r="J802" s="302"/>
      <c r="K802" s="302"/>
      <c r="L802" s="302"/>
      <c r="M802" s="302"/>
      <c r="N802" s="302"/>
      <c r="O802" s="302"/>
      <c r="P802" s="302"/>
      <c r="Q802" s="302"/>
      <c r="R802" s="302"/>
      <c r="S802" s="302"/>
      <c r="T802" s="413"/>
      <c r="U802" s="302"/>
      <c r="V802" s="302"/>
      <c r="W802" s="302"/>
      <c r="X802" s="302"/>
      <c r="Y802" s="302"/>
      <c r="Z802" s="302"/>
      <c r="AA802" s="302"/>
    </row>
    <row r="803" spans="1:27" ht="16" x14ac:dyDescent="0.2">
      <c r="A803" s="302"/>
      <c r="B803" s="302"/>
      <c r="C803" s="302"/>
      <c r="D803" s="302"/>
      <c r="E803" s="302"/>
      <c r="F803" s="302"/>
      <c r="G803" s="302"/>
      <c r="H803" s="302"/>
      <c r="I803" s="302"/>
      <c r="J803" s="302"/>
      <c r="K803" s="302"/>
      <c r="L803" s="302"/>
      <c r="M803" s="302"/>
      <c r="N803" s="302"/>
      <c r="O803" s="302"/>
      <c r="P803" s="302"/>
      <c r="Q803" s="302"/>
      <c r="R803" s="302"/>
      <c r="S803" s="302"/>
      <c r="T803" s="413"/>
      <c r="U803" s="302"/>
      <c r="V803" s="302"/>
      <c r="W803" s="302"/>
      <c r="X803" s="302"/>
      <c r="Y803" s="302"/>
      <c r="Z803" s="302"/>
      <c r="AA803" s="302"/>
    </row>
    <row r="804" spans="1:27" ht="16" x14ac:dyDescent="0.2">
      <c r="A804" s="302"/>
      <c r="B804" s="302"/>
      <c r="C804" s="302"/>
      <c r="D804" s="302"/>
      <c r="E804" s="302"/>
      <c r="F804" s="302"/>
      <c r="G804" s="302"/>
      <c r="H804" s="302"/>
      <c r="I804" s="302"/>
      <c r="J804" s="302"/>
      <c r="K804" s="302"/>
      <c r="L804" s="302"/>
      <c r="M804" s="302"/>
      <c r="N804" s="302"/>
      <c r="O804" s="302"/>
      <c r="P804" s="302"/>
      <c r="Q804" s="302"/>
      <c r="R804" s="302"/>
      <c r="S804" s="302"/>
      <c r="T804" s="413"/>
      <c r="U804" s="302"/>
      <c r="V804" s="302"/>
      <c r="W804" s="302"/>
      <c r="X804" s="302"/>
      <c r="Y804" s="302"/>
      <c r="Z804" s="302"/>
      <c r="AA804" s="302"/>
    </row>
    <row r="805" spans="1:27" ht="16" x14ac:dyDescent="0.2">
      <c r="A805" s="302"/>
      <c r="B805" s="302"/>
      <c r="C805" s="302"/>
      <c r="D805" s="302"/>
      <c r="E805" s="302"/>
      <c r="F805" s="302"/>
      <c r="G805" s="302"/>
      <c r="H805" s="302"/>
      <c r="I805" s="302"/>
      <c r="J805" s="302"/>
      <c r="K805" s="302"/>
      <c r="L805" s="302"/>
      <c r="M805" s="302"/>
      <c r="N805" s="302"/>
      <c r="O805" s="302"/>
      <c r="P805" s="302"/>
      <c r="Q805" s="302"/>
      <c r="R805" s="302"/>
      <c r="S805" s="302"/>
      <c r="T805" s="413"/>
      <c r="U805" s="302"/>
      <c r="V805" s="302"/>
      <c r="W805" s="302"/>
      <c r="X805" s="302"/>
      <c r="Y805" s="302"/>
      <c r="Z805" s="302"/>
      <c r="AA805" s="302"/>
    </row>
    <row r="806" spans="1:27" ht="16" x14ac:dyDescent="0.2">
      <c r="A806" s="302"/>
      <c r="B806" s="302"/>
      <c r="C806" s="302"/>
      <c r="D806" s="302"/>
      <c r="E806" s="302"/>
      <c r="F806" s="302"/>
      <c r="G806" s="302"/>
      <c r="H806" s="302"/>
      <c r="I806" s="302"/>
      <c r="J806" s="302"/>
      <c r="K806" s="302"/>
      <c r="L806" s="302"/>
      <c r="M806" s="302"/>
      <c r="N806" s="302"/>
      <c r="O806" s="302"/>
      <c r="P806" s="302"/>
      <c r="Q806" s="302"/>
      <c r="R806" s="302"/>
      <c r="S806" s="302"/>
      <c r="T806" s="413"/>
      <c r="U806" s="302"/>
      <c r="V806" s="302"/>
      <c r="W806" s="302"/>
      <c r="X806" s="302"/>
      <c r="Y806" s="302"/>
      <c r="Z806" s="302"/>
      <c r="AA806" s="302"/>
    </row>
    <row r="807" spans="1:27" ht="16" x14ac:dyDescent="0.2">
      <c r="A807" s="302"/>
      <c r="B807" s="302"/>
      <c r="C807" s="302"/>
      <c r="D807" s="302"/>
      <c r="E807" s="302"/>
      <c r="F807" s="302"/>
      <c r="G807" s="302"/>
      <c r="H807" s="302"/>
      <c r="I807" s="302"/>
      <c r="J807" s="302"/>
      <c r="K807" s="302"/>
      <c r="L807" s="302"/>
      <c r="M807" s="302"/>
      <c r="N807" s="302"/>
      <c r="O807" s="302"/>
      <c r="P807" s="302"/>
      <c r="Q807" s="302"/>
      <c r="R807" s="302"/>
      <c r="S807" s="302"/>
      <c r="T807" s="413"/>
      <c r="U807" s="302"/>
      <c r="V807" s="302"/>
      <c r="W807" s="302"/>
      <c r="X807" s="302"/>
      <c r="Y807" s="302"/>
      <c r="Z807" s="302"/>
      <c r="AA807" s="302"/>
    </row>
    <row r="808" spans="1:27" ht="16" x14ac:dyDescent="0.2">
      <c r="A808" s="302"/>
      <c r="B808" s="302"/>
      <c r="C808" s="302"/>
      <c r="D808" s="302"/>
      <c r="E808" s="302"/>
      <c r="F808" s="302"/>
      <c r="G808" s="302"/>
      <c r="H808" s="302"/>
      <c r="I808" s="302"/>
      <c r="J808" s="302"/>
      <c r="K808" s="302"/>
      <c r="L808" s="302"/>
      <c r="M808" s="302"/>
      <c r="N808" s="302"/>
      <c r="O808" s="302"/>
      <c r="P808" s="302"/>
      <c r="Q808" s="302"/>
      <c r="R808" s="302"/>
      <c r="S808" s="302"/>
      <c r="T808" s="413"/>
      <c r="U808" s="302"/>
      <c r="V808" s="302"/>
      <c r="W808" s="302"/>
      <c r="X808" s="302"/>
      <c r="Y808" s="302"/>
      <c r="Z808" s="302"/>
      <c r="AA808" s="302"/>
    </row>
    <row r="809" spans="1:27" ht="16" x14ac:dyDescent="0.2">
      <c r="A809" s="302"/>
      <c r="B809" s="302"/>
      <c r="C809" s="302"/>
      <c r="D809" s="302"/>
      <c r="E809" s="302"/>
      <c r="F809" s="302"/>
      <c r="G809" s="302"/>
      <c r="H809" s="302"/>
      <c r="I809" s="302"/>
      <c r="J809" s="302"/>
      <c r="K809" s="302"/>
      <c r="L809" s="302"/>
      <c r="M809" s="302"/>
      <c r="N809" s="302"/>
      <c r="O809" s="302"/>
      <c r="P809" s="302"/>
      <c r="Q809" s="302"/>
      <c r="R809" s="302"/>
      <c r="S809" s="302"/>
      <c r="T809" s="413"/>
      <c r="U809" s="302"/>
      <c r="V809" s="302"/>
      <c r="W809" s="302"/>
      <c r="X809" s="302"/>
      <c r="Y809" s="302"/>
      <c r="Z809" s="302"/>
      <c r="AA809" s="302"/>
    </row>
    <row r="810" spans="1:27" ht="16" x14ac:dyDescent="0.2">
      <c r="A810" s="302"/>
      <c r="B810" s="302"/>
      <c r="C810" s="302"/>
      <c r="D810" s="302"/>
      <c r="E810" s="302"/>
      <c r="F810" s="302"/>
      <c r="G810" s="302"/>
      <c r="H810" s="302"/>
      <c r="I810" s="302"/>
      <c r="J810" s="302"/>
      <c r="K810" s="302"/>
      <c r="L810" s="302"/>
      <c r="M810" s="302"/>
      <c r="N810" s="302"/>
      <c r="O810" s="302"/>
      <c r="P810" s="302"/>
      <c r="Q810" s="302"/>
      <c r="R810" s="302"/>
      <c r="S810" s="302"/>
      <c r="T810" s="413"/>
      <c r="U810" s="302"/>
      <c r="V810" s="302"/>
      <c r="W810" s="302"/>
      <c r="X810" s="302"/>
      <c r="Y810" s="302"/>
      <c r="Z810" s="302"/>
      <c r="AA810" s="302"/>
    </row>
    <row r="811" spans="1:27" ht="16" x14ac:dyDescent="0.2">
      <c r="A811" s="302"/>
      <c r="B811" s="302"/>
      <c r="C811" s="302"/>
      <c r="D811" s="302"/>
      <c r="E811" s="302"/>
      <c r="F811" s="302"/>
      <c r="G811" s="302"/>
      <c r="H811" s="302"/>
      <c r="I811" s="302"/>
      <c r="J811" s="302"/>
      <c r="K811" s="302"/>
      <c r="L811" s="302"/>
      <c r="M811" s="302"/>
      <c r="N811" s="302"/>
      <c r="O811" s="302"/>
      <c r="P811" s="302"/>
      <c r="Q811" s="302"/>
      <c r="R811" s="302"/>
      <c r="S811" s="302"/>
      <c r="T811" s="413"/>
      <c r="U811" s="302"/>
      <c r="V811" s="302"/>
      <c r="W811" s="302"/>
      <c r="X811" s="302"/>
      <c r="Y811" s="302"/>
      <c r="Z811" s="302"/>
      <c r="AA811" s="302"/>
    </row>
    <row r="812" spans="1:27" ht="16" x14ac:dyDescent="0.2">
      <c r="A812" s="302"/>
      <c r="B812" s="302"/>
      <c r="C812" s="302"/>
      <c r="D812" s="302"/>
      <c r="E812" s="302"/>
      <c r="F812" s="302"/>
      <c r="G812" s="302"/>
      <c r="H812" s="302"/>
      <c r="I812" s="302"/>
      <c r="J812" s="302"/>
      <c r="K812" s="302"/>
      <c r="L812" s="302"/>
      <c r="M812" s="302"/>
      <c r="N812" s="302"/>
      <c r="O812" s="302"/>
      <c r="P812" s="302"/>
      <c r="Q812" s="302"/>
      <c r="R812" s="302"/>
      <c r="S812" s="302"/>
      <c r="T812" s="413"/>
      <c r="U812" s="302"/>
      <c r="V812" s="302"/>
      <c r="W812" s="302"/>
      <c r="X812" s="302"/>
      <c r="Y812" s="302"/>
      <c r="Z812" s="302"/>
      <c r="AA812" s="302"/>
    </row>
    <row r="813" spans="1:27" ht="16" x14ac:dyDescent="0.2">
      <c r="A813" s="302"/>
      <c r="B813" s="302"/>
      <c r="C813" s="302"/>
      <c r="D813" s="302"/>
      <c r="E813" s="302"/>
      <c r="F813" s="302"/>
      <c r="G813" s="302"/>
      <c r="H813" s="302"/>
      <c r="I813" s="302"/>
      <c r="J813" s="302"/>
      <c r="K813" s="302"/>
      <c r="L813" s="302"/>
      <c r="M813" s="302"/>
      <c r="N813" s="302"/>
      <c r="O813" s="302"/>
      <c r="P813" s="302"/>
      <c r="Q813" s="302"/>
      <c r="R813" s="302"/>
      <c r="S813" s="302"/>
      <c r="T813" s="413"/>
      <c r="U813" s="302"/>
      <c r="V813" s="302"/>
      <c r="W813" s="302"/>
      <c r="X813" s="302"/>
      <c r="Y813" s="302"/>
      <c r="Z813" s="302"/>
      <c r="AA813" s="302"/>
    </row>
    <row r="814" spans="1:27" ht="16" x14ac:dyDescent="0.2">
      <c r="A814" s="302"/>
      <c r="B814" s="302"/>
      <c r="C814" s="302"/>
      <c r="D814" s="302"/>
      <c r="E814" s="302"/>
      <c r="F814" s="302"/>
      <c r="G814" s="302"/>
      <c r="H814" s="302"/>
      <c r="I814" s="302"/>
      <c r="J814" s="302"/>
      <c r="K814" s="302"/>
      <c r="L814" s="302"/>
      <c r="M814" s="302"/>
      <c r="N814" s="302"/>
      <c r="O814" s="302"/>
      <c r="P814" s="302"/>
      <c r="Q814" s="302"/>
      <c r="R814" s="302"/>
      <c r="S814" s="302"/>
      <c r="T814" s="413"/>
      <c r="U814" s="302"/>
      <c r="V814" s="302"/>
      <c r="W814" s="302"/>
      <c r="X814" s="302"/>
      <c r="Y814" s="302"/>
      <c r="Z814" s="302"/>
      <c r="AA814" s="302"/>
    </row>
    <row r="815" spans="1:27" ht="16" x14ac:dyDescent="0.2">
      <c r="A815" s="302"/>
      <c r="B815" s="302"/>
      <c r="C815" s="302"/>
      <c r="D815" s="302"/>
      <c r="E815" s="302"/>
      <c r="F815" s="302"/>
      <c r="G815" s="302"/>
      <c r="H815" s="302"/>
      <c r="I815" s="302"/>
      <c r="J815" s="302"/>
      <c r="K815" s="302"/>
      <c r="L815" s="302"/>
      <c r="M815" s="302"/>
      <c r="N815" s="302"/>
      <c r="O815" s="302"/>
      <c r="P815" s="302"/>
      <c r="Q815" s="302"/>
      <c r="R815" s="302"/>
      <c r="S815" s="302"/>
      <c r="T815" s="413"/>
      <c r="U815" s="302"/>
      <c r="V815" s="302"/>
      <c r="W815" s="302"/>
      <c r="X815" s="302"/>
      <c r="Y815" s="302"/>
      <c r="Z815" s="302"/>
      <c r="AA815" s="302"/>
    </row>
    <row r="816" spans="1:27" ht="16" x14ac:dyDescent="0.2">
      <c r="A816" s="302"/>
      <c r="B816" s="302"/>
      <c r="C816" s="302"/>
      <c r="D816" s="302"/>
      <c r="E816" s="302"/>
      <c r="F816" s="302"/>
      <c r="G816" s="302"/>
      <c r="H816" s="302"/>
      <c r="I816" s="302"/>
      <c r="J816" s="302"/>
      <c r="K816" s="302"/>
      <c r="L816" s="302"/>
      <c r="M816" s="302"/>
      <c r="N816" s="302"/>
      <c r="O816" s="302"/>
      <c r="P816" s="302"/>
      <c r="Q816" s="302"/>
      <c r="R816" s="302"/>
      <c r="S816" s="302"/>
      <c r="T816" s="413"/>
      <c r="U816" s="302"/>
      <c r="V816" s="302"/>
      <c r="W816" s="302"/>
      <c r="X816" s="302"/>
      <c r="Y816" s="302"/>
      <c r="Z816" s="302"/>
      <c r="AA816" s="302"/>
    </row>
    <row r="817" spans="1:27" ht="16" x14ac:dyDescent="0.2">
      <c r="A817" s="302"/>
      <c r="B817" s="302"/>
      <c r="C817" s="302"/>
      <c r="D817" s="302"/>
      <c r="E817" s="302"/>
      <c r="F817" s="302"/>
      <c r="G817" s="302"/>
      <c r="H817" s="302"/>
      <c r="I817" s="302"/>
      <c r="J817" s="302"/>
      <c r="K817" s="302"/>
      <c r="L817" s="302"/>
      <c r="M817" s="302"/>
      <c r="N817" s="302"/>
      <c r="O817" s="302"/>
      <c r="P817" s="302"/>
      <c r="Q817" s="302"/>
      <c r="R817" s="302"/>
      <c r="S817" s="302"/>
      <c r="T817" s="413"/>
      <c r="U817" s="302"/>
      <c r="V817" s="302"/>
      <c r="W817" s="302"/>
      <c r="X817" s="302"/>
      <c r="Y817" s="302"/>
      <c r="Z817" s="302"/>
      <c r="AA817" s="302"/>
    </row>
    <row r="818" spans="1:27" ht="16" x14ac:dyDescent="0.2">
      <c r="A818" s="302"/>
      <c r="B818" s="302"/>
      <c r="C818" s="302"/>
      <c r="D818" s="302"/>
      <c r="E818" s="302"/>
      <c r="F818" s="302"/>
      <c r="G818" s="302"/>
      <c r="H818" s="302"/>
      <c r="I818" s="302"/>
      <c r="J818" s="302"/>
      <c r="K818" s="302"/>
      <c r="L818" s="302"/>
      <c r="M818" s="302"/>
      <c r="N818" s="302"/>
      <c r="O818" s="302"/>
      <c r="P818" s="302"/>
      <c r="Q818" s="302"/>
      <c r="R818" s="302"/>
      <c r="S818" s="302"/>
      <c r="T818" s="413"/>
      <c r="U818" s="302"/>
      <c r="V818" s="302"/>
      <c r="W818" s="302"/>
      <c r="X818" s="302"/>
      <c r="Y818" s="302"/>
      <c r="Z818" s="302"/>
      <c r="AA818" s="302"/>
    </row>
    <row r="819" spans="1:27" ht="16" x14ac:dyDescent="0.2">
      <c r="A819" s="302"/>
      <c r="B819" s="302"/>
      <c r="C819" s="302"/>
      <c r="D819" s="302"/>
      <c r="E819" s="302"/>
      <c r="F819" s="302"/>
      <c r="G819" s="302"/>
      <c r="H819" s="302"/>
      <c r="I819" s="302"/>
      <c r="J819" s="302"/>
      <c r="K819" s="302"/>
      <c r="L819" s="302"/>
      <c r="M819" s="302"/>
      <c r="N819" s="302"/>
      <c r="O819" s="302"/>
      <c r="P819" s="302"/>
      <c r="Q819" s="302"/>
      <c r="R819" s="302"/>
      <c r="S819" s="302"/>
      <c r="T819" s="413"/>
      <c r="U819" s="302"/>
      <c r="V819" s="302"/>
      <c r="W819" s="302"/>
      <c r="X819" s="302"/>
      <c r="Y819" s="302"/>
      <c r="Z819" s="302"/>
      <c r="AA819" s="302"/>
    </row>
    <row r="820" spans="1:27" ht="16" x14ac:dyDescent="0.2">
      <c r="A820" s="302"/>
      <c r="B820" s="302"/>
      <c r="C820" s="302"/>
      <c r="D820" s="302"/>
      <c r="E820" s="302"/>
      <c r="F820" s="302"/>
      <c r="G820" s="302"/>
      <c r="H820" s="302"/>
      <c r="I820" s="302"/>
      <c r="J820" s="302"/>
      <c r="K820" s="302"/>
      <c r="L820" s="302"/>
      <c r="M820" s="302"/>
      <c r="N820" s="302"/>
      <c r="O820" s="302"/>
      <c r="P820" s="302"/>
      <c r="Q820" s="302"/>
      <c r="R820" s="302"/>
      <c r="S820" s="302"/>
      <c r="T820" s="413"/>
      <c r="U820" s="302"/>
      <c r="V820" s="302"/>
      <c r="W820" s="302"/>
      <c r="X820" s="302"/>
      <c r="Y820" s="302"/>
      <c r="Z820" s="302"/>
      <c r="AA820" s="302"/>
    </row>
    <row r="821" spans="1:27" ht="16" x14ac:dyDescent="0.2">
      <c r="A821" s="302"/>
      <c r="B821" s="302"/>
      <c r="C821" s="302"/>
      <c r="D821" s="302"/>
      <c r="E821" s="302"/>
      <c r="F821" s="302"/>
      <c r="G821" s="302"/>
      <c r="H821" s="302"/>
      <c r="I821" s="302"/>
      <c r="J821" s="302"/>
      <c r="K821" s="302"/>
      <c r="L821" s="302"/>
      <c r="M821" s="302"/>
      <c r="N821" s="302"/>
      <c r="O821" s="302"/>
      <c r="P821" s="302"/>
      <c r="Q821" s="302"/>
      <c r="R821" s="302"/>
      <c r="S821" s="302"/>
      <c r="T821" s="413"/>
      <c r="U821" s="302"/>
      <c r="V821" s="302"/>
      <c r="W821" s="302"/>
      <c r="X821" s="302"/>
      <c r="Y821" s="302"/>
      <c r="Z821" s="302"/>
      <c r="AA821" s="302"/>
    </row>
    <row r="822" spans="1:27" ht="16" x14ac:dyDescent="0.2">
      <c r="A822" s="302"/>
      <c r="B822" s="302"/>
      <c r="C822" s="302"/>
      <c r="D822" s="302"/>
      <c r="E822" s="302"/>
      <c r="F822" s="302"/>
      <c r="G822" s="302"/>
      <c r="H822" s="302"/>
      <c r="I822" s="302"/>
      <c r="J822" s="302"/>
      <c r="K822" s="302"/>
      <c r="L822" s="302"/>
      <c r="M822" s="302"/>
      <c r="N822" s="302"/>
      <c r="O822" s="302"/>
      <c r="P822" s="302"/>
      <c r="Q822" s="302"/>
      <c r="R822" s="302"/>
      <c r="S822" s="302"/>
      <c r="T822" s="413"/>
      <c r="U822" s="302"/>
      <c r="V822" s="302"/>
      <c r="W822" s="302"/>
      <c r="X822" s="302"/>
      <c r="Y822" s="302"/>
      <c r="Z822" s="302"/>
      <c r="AA822" s="302"/>
    </row>
    <row r="823" spans="1:27" ht="16" x14ac:dyDescent="0.2">
      <c r="A823" s="302"/>
      <c r="B823" s="302"/>
      <c r="C823" s="302"/>
      <c r="D823" s="302"/>
      <c r="E823" s="302"/>
      <c r="F823" s="302"/>
      <c r="G823" s="302"/>
      <c r="H823" s="302"/>
      <c r="I823" s="302"/>
      <c r="J823" s="302"/>
      <c r="K823" s="302"/>
      <c r="L823" s="302"/>
      <c r="M823" s="302"/>
      <c r="N823" s="302"/>
      <c r="O823" s="302"/>
      <c r="P823" s="302"/>
      <c r="Q823" s="302"/>
      <c r="R823" s="302"/>
      <c r="S823" s="302"/>
      <c r="T823" s="413"/>
      <c r="U823" s="302"/>
      <c r="V823" s="302"/>
      <c r="W823" s="302"/>
      <c r="X823" s="302"/>
      <c r="Y823" s="302"/>
      <c r="Z823" s="302"/>
      <c r="AA823" s="302"/>
    </row>
    <row r="824" spans="1:27" ht="16" x14ac:dyDescent="0.2">
      <c r="A824" s="302"/>
      <c r="B824" s="302"/>
      <c r="C824" s="302"/>
      <c r="D824" s="302"/>
      <c r="E824" s="302"/>
      <c r="F824" s="302"/>
      <c r="G824" s="302"/>
      <c r="H824" s="302"/>
      <c r="I824" s="302"/>
      <c r="J824" s="302"/>
      <c r="K824" s="302"/>
      <c r="L824" s="302"/>
      <c r="M824" s="302"/>
      <c r="N824" s="302"/>
      <c r="O824" s="302"/>
      <c r="P824" s="302"/>
      <c r="Q824" s="302"/>
      <c r="R824" s="302"/>
      <c r="S824" s="302"/>
      <c r="T824" s="413"/>
      <c r="U824" s="302"/>
      <c r="V824" s="302"/>
      <c r="W824" s="302"/>
      <c r="X824" s="302"/>
      <c r="Y824" s="302"/>
      <c r="Z824" s="302"/>
      <c r="AA824" s="302"/>
    </row>
    <row r="825" spans="1:27" ht="16" x14ac:dyDescent="0.2">
      <c r="A825" s="302"/>
      <c r="B825" s="302"/>
      <c r="C825" s="302"/>
      <c r="D825" s="302"/>
      <c r="E825" s="302"/>
      <c r="F825" s="302"/>
      <c r="G825" s="302"/>
      <c r="H825" s="302"/>
      <c r="I825" s="302"/>
      <c r="J825" s="302"/>
      <c r="K825" s="302"/>
      <c r="L825" s="302"/>
      <c r="M825" s="302"/>
      <c r="N825" s="302"/>
      <c r="O825" s="302"/>
      <c r="P825" s="302"/>
      <c r="Q825" s="302"/>
      <c r="R825" s="302"/>
      <c r="S825" s="302"/>
      <c r="T825" s="413"/>
      <c r="U825" s="302"/>
      <c r="V825" s="302"/>
      <c r="W825" s="302"/>
      <c r="X825" s="302"/>
      <c r="Y825" s="302"/>
      <c r="Z825" s="302"/>
      <c r="AA825" s="302"/>
    </row>
    <row r="826" spans="1:27" ht="16" x14ac:dyDescent="0.2">
      <c r="A826" s="302"/>
      <c r="B826" s="302"/>
      <c r="C826" s="302"/>
      <c r="D826" s="302"/>
      <c r="E826" s="302"/>
      <c r="F826" s="302"/>
      <c r="G826" s="302"/>
      <c r="H826" s="302"/>
      <c r="I826" s="302"/>
      <c r="J826" s="302"/>
      <c r="K826" s="302"/>
      <c r="L826" s="302"/>
      <c r="M826" s="302"/>
      <c r="N826" s="302"/>
      <c r="O826" s="302"/>
      <c r="P826" s="302"/>
      <c r="Q826" s="302"/>
      <c r="R826" s="302"/>
      <c r="S826" s="302"/>
      <c r="T826" s="413"/>
      <c r="U826" s="302"/>
      <c r="V826" s="302"/>
      <c r="W826" s="302"/>
      <c r="X826" s="302"/>
      <c r="Y826" s="302"/>
      <c r="Z826" s="302"/>
      <c r="AA826" s="302"/>
    </row>
    <row r="827" spans="1:27" ht="16" x14ac:dyDescent="0.2">
      <c r="A827" s="302"/>
      <c r="B827" s="302"/>
      <c r="C827" s="302"/>
      <c r="D827" s="302"/>
      <c r="E827" s="302"/>
      <c r="F827" s="302"/>
      <c r="G827" s="302"/>
      <c r="H827" s="302"/>
      <c r="I827" s="302"/>
      <c r="J827" s="302"/>
      <c r="K827" s="302"/>
      <c r="L827" s="302"/>
      <c r="M827" s="302"/>
      <c r="N827" s="302"/>
      <c r="O827" s="302"/>
      <c r="P827" s="302"/>
      <c r="Q827" s="302"/>
      <c r="R827" s="302"/>
      <c r="S827" s="302"/>
      <c r="T827" s="413"/>
      <c r="U827" s="302"/>
      <c r="V827" s="302"/>
      <c r="W827" s="302"/>
      <c r="X827" s="302"/>
      <c r="Y827" s="302"/>
      <c r="Z827" s="302"/>
      <c r="AA827" s="302"/>
    </row>
    <row r="828" spans="1:27" ht="16" x14ac:dyDescent="0.2">
      <c r="A828" s="302"/>
      <c r="B828" s="302"/>
      <c r="C828" s="302"/>
      <c r="D828" s="302"/>
      <c r="E828" s="302"/>
      <c r="F828" s="302"/>
      <c r="G828" s="302"/>
      <c r="H828" s="302"/>
      <c r="I828" s="302"/>
      <c r="J828" s="302"/>
      <c r="K828" s="302"/>
      <c r="L828" s="302"/>
      <c r="M828" s="302"/>
      <c r="N828" s="302"/>
      <c r="O828" s="302"/>
      <c r="P828" s="302"/>
      <c r="Q828" s="302"/>
      <c r="R828" s="302"/>
      <c r="S828" s="302"/>
      <c r="T828" s="413"/>
      <c r="U828" s="302"/>
      <c r="V828" s="302"/>
      <c r="W828" s="302"/>
      <c r="X828" s="302"/>
      <c r="Y828" s="302"/>
      <c r="Z828" s="302"/>
      <c r="AA828" s="302"/>
    </row>
    <row r="829" spans="1:27" ht="16" x14ac:dyDescent="0.2">
      <c r="A829" s="302"/>
      <c r="B829" s="302"/>
      <c r="C829" s="302"/>
      <c r="D829" s="302"/>
      <c r="E829" s="302"/>
      <c r="F829" s="302"/>
      <c r="G829" s="302"/>
      <c r="H829" s="302"/>
      <c r="I829" s="302"/>
      <c r="J829" s="302"/>
      <c r="K829" s="302"/>
      <c r="L829" s="302"/>
      <c r="M829" s="302"/>
      <c r="N829" s="302"/>
      <c r="O829" s="302"/>
      <c r="P829" s="302"/>
      <c r="Q829" s="302"/>
      <c r="R829" s="302"/>
      <c r="S829" s="302"/>
      <c r="T829" s="413"/>
      <c r="U829" s="302"/>
      <c r="V829" s="302"/>
      <c r="W829" s="302"/>
      <c r="X829" s="302"/>
      <c r="Y829" s="302"/>
      <c r="Z829" s="302"/>
      <c r="AA829" s="302"/>
    </row>
    <row r="830" spans="1:27" ht="16" x14ac:dyDescent="0.2">
      <c r="A830" s="302"/>
      <c r="B830" s="302"/>
      <c r="C830" s="302"/>
      <c r="D830" s="302"/>
      <c r="E830" s="302"/>
      <c r="F830" s="302"/>
      <c r="G830" s="302"/>
      <c r="H830" s="302"/>
      <c r="I830" s="302"/>
      <c r="J830" s="302"/>
      <c r="K830" s="302"/>
      <c r="L830" s="302"/>
      <c r="M830" s="302"/>
      <c r="N830" s="302"/>
      <c r="O830" s="302"/>
      <c r="P830" s="302"/>
      <c r="Q830" s="302"/>
      <c r="R830" s="302"/>
      <c r="S830" s="302"/>
      <c r="T830" s="413"/>
      <c r="U830" s="302"/>
      <c r="V830" s="302"/>
      <c r="W830" s="302"/>
      <c r="X830" s="302"/>
      <c r="Y830" s="302"/>
      <c r="Z830" s="302"/>
      <c r="AA830" s="302"/>
    </row>
    <row r="831" spans="1:27" ht="16" x14ac:dyDescent="0.2">
      <c r="A831" s="302"/>
      <c r="B831" s="302"/>
      <c r="C831" s="302"/>
      <c r="D831" s="302"/>
      <c r="E831" s="302"/>
      <c r="F831" s="302"/>
      <c r="G831" s="302"/>
      <c r="H831" s="302"/>
      <c r="I831" s="302"/>
      <c r="J831" s="302"/>
      <c r="K831" s="302"/>
      <c r="L831" s="302"/>
      <c r="M831" s="302"/>
      <c r="N831" s="302"/>
      <c r="O831" s="302"/>
      <c r="P831" s="302"/>
      <c r="Q831" s="302"/>
      <c r="R831" s="302"/>
      <c r="S831" s="302"/>
      <c r="T831" s="413"/>
      <c r="U831" s="302"/>
      <c r="V831" s="302"/>
      <c r="W831" s="302"/>
      <c r="X831" s="302"/>
      <c r="Y831" s="302"/>
      <c r="Z831" s="302"/>
      <c r="AA831" s="302"/>
    </row>
    <row r="832" spans="1:27" ht="16" x14ac:dyDescent="0.2">
      <c r="A832" s="302"/>
      <c r="B832" s="302"/>
      <c r="C832" s="302"/>
      <c r="D832" s="302"/>
      <c r="E832" s="302"/>
      <c r="F832" s="302"/>
      <c r="G832" s="302"/>
      <c r="H832" s="302"/>
      <c r="I832" s="302"/>
      <c r="J832" s="302"/>
      <c r="K832" s="302"/>
      <c r="L832" s="302"/>
      <c r="M832" s="302"/>
      <c r="N832" s="302"/>
      <c r="O832" s="302"/>
      <c r="P832" s="302"/>
      <c r="Q832" s="302"/>
      <c r="R832" s="302"/>
      <c r="S832" s="302"/>
      <c r="T832" s="413"/>
      <c r="U832" s="302"/>
      <c r="V832" s="302"/>
      <c r="W832" s="302"/>
      <c r="X832" s="302"/>
      <c r="Y832" s="302"/>
      <c r="Z832" s="302"/>
      <c r="AA832" s="302"/>
    </row>
    <row r="833" spans="1:27" ht="16" x14ac:dyDescent="0.2">
      <c r="A833" s="302"/>
      <c r="B833" s="302"/>
      <c r="C833" s="302"/>
      <c r="D833" s="302"/>
      <c r="E833" s="302"/>
      <c r="F833" s="302"/>
      <c r="G833" s="302"/>
      <c r="H833" s="302"/>
      <c r="I833" s="302"/>
      <c r="J833" s="302"/>
      <c r="K833" s="302"/>
      <c r="L833" s="302"/>
      <c r="M833" s="302"/>
      <c r="N833" s="302"/>
      <c r="O833" s="302"/>
      <c r="P833" s="302"/>
      <c r="Q833" s="302"/>
      <c r="R833" s="302"/>
      <c r="S833" s="302"/>
      <c r="T833" s="413"/>
      <c r="U833" s="302"/>
      <c r="V833" s="302"/>
      <c r="W833" s="302"/>
      <c r="X833" s="302"/>
      <c r="Y833" s="302"/>
      <c r="Z833" s="302"/>
      <c r="AA833" s="302"/>
    </row>
    <row r="834" spans="1:27" ht="16" x14ac:dyDescent="0.2">
      <c r="A834" s="302"/>
      <c r="B834" s="302"/>
      <c r="C834" s="302"/>
      <c r="D834" s="302"/>
      <c r="E834" s="302"/>
      <c r="F834" s="302"/>
      <c r="G834" s="302"/>
      <c r="H834" s="302"/>
      <c r="I834" s="302"/>
      <c r="J834" s="302"/>
      <c r="K834" s="302"/>
      <c r="L834" s="302"/>
      <c r="M834" s="302"/>
      <c r="N834" s="302"/>
      <c r="O834" s="302"/>
      <c r="P834" s="302"/>
      <c r="Q834" s="302"/>
      <c r="R834" s="302"/>
      <c r="S834" s="302"/>
      <c r="T834" s="413"/>
      <c r="U834" s="302"/>
      <c r="V834" s="302"/>
      <c r="W834" s="302"/>
      <c r="X834" s="302"/>
      <c r="Y834" s="302"/>
      <c r="Z834" s="302"/>
      <c r="AA834" s="302"/>
    </row>
    <row r="835" spans="1:27" ht="16" x14ac:dyDescent="0.2">
      <c r="A835" s="302"/>
      <c r="B835" s="302"/>
      <c r="C835" s="302"/>
      <c r="D835" s="302"/>
      <c r="E835" s="302"/>
      <c r="F835" s="302"/>
      <c r="G835" s="302"/>
      <c r="H835" s="302"/>
      <c r="I835" s="302"/>
      <c r="J835" s="302"/>
      <c r="K835" s="302"/>
      <c r="L835" s="302"/>
      <c r="M835" s="302"/>
      <c r="N835" s="302"/>
      <c r="O835" s="302"/>
      <c r="P835" s="302"/>
      <c r="Q835" s="302"/>
      <c r="R835" s="302"/>
      <c r="S835" s="302"/>
      <c r="T835" s="413"/>
      <c r="U835" s="302"/>
      <c r="V835" s="302"/>
      <c r="W835" s="302"/>
      <c r="X835" s="302"/>
      <c r="Y835" s="302"/>
      <c r="Z835" s="302"/>
      <c r="AA835" s="302"/>
    </row>
    <row r="836" spans="1:27" ht="16" x14ac:dyDescent="0.2">
      <c r="A836" s="302"/>
      <c r="B836" s="302"/>
      <c r="C836" s="302"/>
      <c r="D836" s="302"/>
      <c r="E836" s="302"/>
      <c r="F836" s="302"/>
      <c r="G836" s="302"/>
      <c r="H836" s="302"/>
      <c r="I836" s="302"/>
      <c r="J836" s="302"/>
      <c r="K836" s="302"/>
      <c r="L836" s="302"/>
      <c r="M836" s="302"/>
      <c r="N836" s="302"/>
      <c r="O836" s="302"/>
      <c r="P836" s="302"/>
      <c r="Q836" s="302"/>
      <c r="R836" s="302"/>
      <c r="S836" s="302"/>
      <c r="T836" s="413"/>
      <c r="U836" s="302"/>
      <c r="V836" s="302"/>
      <c r="W836" s="302"/>
      <c r="X836" s="302"/>
      <c r="Y836" s="302"/>
      <c r="Z836" s="302"/>
      <c r="AA836" s="302"/>
    </row>
    <row r="837" spans="1:27" ht="16" x14ac:dyDescent="0.2">
      <c r="A837" s="302"/>
      <c r="B837" s="302"/>
      <c r="C837" s="302"/>
      <c r="D837" s="302"/>
      <c r="E837" s="302"/>
      <c r="F837" s="302"/>
      <c r="G837" s="302"/>
      <c r="H837" s="302"/>
      <c r="I837" s="302"/>
      <c r="J837" s="302"/>
      <c r="K837" s="302"/>
      <c r="L837" s="302"/>
      <c r="M837" s="302"/>
      <c r="N837" s="302"/>
      <c r="O837" s="302"/>
      <c r="P837" s="302"/>
      <c r="Q837" s="302"/>
      <c r="R837" s="302"/>
      <c r="S837" s="302"/>
      <c r="T837" s="413"/>
      <c r="U837" s="302"/>
      <c r="V837" s="302"/>
      <c r="W837" s="302"/>
      <c r="X837" s="302"/>
      <c r="Y837" s="302"/>
      <c r="Z837" s="302"/>
      <c r="AA837" s="302"/>
    </row>
    <row r="838" spans="1:27" ht="16" x14ac:dyDescent="0.2">
      <c r="A838" s="302"/>
      <c r="B838" s="302"/>
      <c r="C838" s="302"/>
      <c r="D838" s="302"/>
      <c r="E838" s="302"/>
      <c r="F838" s="302"/>
      <c r="G838" s="302"/>
      <c r="H838" s="302"/>
      <c r="I838" s="302"/>
      <c r="J838" s="302"/>
      <c r="K838" s="302"/>
      <c r="L838" s="302"/>
      <c r="M838" s="302"/>
      <c r="N838" s="302"/>
      <c r="O838" s="302"/>
      <c r="P838" s="302"/>
      <c r="Q838" s="302"/>
      <c r="R838" s="302"/>
      <c r="S838" s="302"/>
      <c r="T838" s="413"/>
      <c r="U838" s="302"/>
      <c r="V838" s="302"/>
      <c r="W838" s="302"/>
      <c r="X838" s="302"/>
      <c r="Y838" s="302"/>
      <c r="Z838" s="302"/>
      <c r="AA838" s="302"/>
    </row>
    <row r="839" spans="1:27" ht="16" x14ac:dyDescent="0.2">
      <c r="A839" s="302"/>
      <c r="B839" s="302"/>
      <c r="C839" s="302"/>
      <c r="D839" s="302"/>
      <c r="E839" s="302"/>
      <c r="F839" s="302"/>
      <c r="G839" s="302"/>
      <c r="H839" s="302"/>
      <c r="I839" s="302"/>
      <c r="J839" s="302"/>
      <c r="K839" s="302"/>
      <c r="L839" s="302"/>
      <c r="M839" s="302"/>
      <c r="N839" s="302"/>
      <c r="O839" s="302"/>
      <c r="P839" s="302"/>
      <c r="Q839" s="302"/>
      <c r="R839" s="302"/>
      <c r="S839" s="302"/>
      <c r="T839" s="413"/>
      <c r="U839" s="302"/>
      <c r="V839" s="302"/>
      <c r="W839" s="302"/>
      <c r="X839" s="302"/>
      <c r="Y839" s="302"/>
      <c r="Z839" s="302"/>
      <c r="AA839" s="302"/>
    </row>
    <row r="840" spans="1:27" ht="16" x14ac:dyDescent="0.2">
      <c r="A840" s="302"/>
      <c r="B840" s="302"/>
      <c r="C840" s="302"/>
      <c r="D840" s="302"/>
      <c r="E840" s="302"/>
      <c r="F840" s="302"/>
      <c r="G840" s="302"/>
      <c r="H840" s="302"/>
      <c r="I840" s="302"/>
      <c r="J840" s="302"/>
      <c r="K840" s="302"/>
      <c r="L840" s="302"/>
      <c r="M840" s="302"/>
      <c r="N840" s="302"/>
      <c r="O840" s="302"/>
      <c r="P840" s="302"/>
      <c r="Q840" s="302"/>
      <c r="R840" s="302"/>
      <c r="S840" s="302"/>
      <c r="T840" s="413"/>
      <c r="U840" s="302"/>
      <c r="V840" s="302"/>
      <c r="W840" s="302"/>
      <c r="X840" s="302"/>
      <c r="Y840" s="302"/>
      <c r="Z840" s="302"/>
      <c r="AA840" s="302"/>
    </row>
    <row r="841" spans="1:27" ht="16" x14ac:dyDescent="0.2">
      <c r="A841" s="302"/>
      <c r="B841" s="302"/>
      <c r="C841" s="302"/>
      <c r="D841" s="302"/>
      <c r="E841" s="302"/>
      <c r="F841" s="302"/>
      <c r="G841" s="302"/>
      <c r="H841" s="302"/>
      <c r="I841" s="302"/>
      <c r="J841" s="302"/>
      <c r="K841" s="302"/>
      <c r="L841" s="302"/>
      <c r="M841" s="302"/>
      <c r="N841" s="302"/>
      <c r="O841" s="302"/>
      <c r="P841" s="302"/>
      <c r="Q841" s="302"/>
      <c r="R841" s="302"/>
      <c r="S841" s="302"/>
      <c r="T841" s="413"/>
      <c r="U841" s="302"/>
      <c r="V841" s="302"/>
      <c r="W841" s="302"/>
      <c r="X841" s="302"/>
      <c r="Y841" s="302"/>
      <c r="Z841" s="302"/>
      <c r="AA841" s="302"/>
    </row>
    <row r="842" spans="1:27" ht="16" x14ac:dyDescent="0.2">
      <c r="A842" s="302"/>
      <c r="B842" s="302"/>
      <c r="C842" s="302"/>
      <c r="D842" s="302"/>
      <c r="E842" s="302"/>
      <c r="F842" s="302"/>
      <c r="G842" s="302"/>
      <c r="H842" s="302"/>
      <c r="I842" s="302"/>
      <c r="J842" s="302"/>
      <c r="K842" s="302"/>
      <c r="L842" s="302"/>
      <c r="M842" s="302"/>
      <c r="N842" s="302"/>
      <c r="O842" s="302"/>
      <c r="P842" s="302"/>
      <c r="Q842" s="302"/>
      <c r="R842" s="302"/>
      <c r="S842" s="302"/>
      <c r="T842" s="413"/>
      <c r="U842" s="302"/>
      <c r="V842" s="302"/>
      <c r="W842" s="302"/>
      <c r="X842" s="302"/>
      <c r="Y842" s="302"/>
      <c r="Z842" s="302"/>
      <c r="AA842" s="302"/>
    </row>
    <row r="843" spans="1:27" ht="16" x14ac:dyDescent="0.2">
      <c r="A843" s="302"/>
      <c r="B843" s="302"/>
      <c r="C843" s="302"/>
      <c r="D843" s="302"/>
      <c r="E843" s="302"/>
      <c r="F843" s="302"/>
      <c r="G843" s="302"/>
      <c r="H843" s="302"/>
      <c r="I843" s="302"/>
      <c r="J843" s="302"/>
      <c r="K843" s="302"/>
      <c r="L843" s="302"/>
      <c r="M843" s="302"/>
      <c r="N843" s="302"/>
      <c r="O843" s="302"/>
      <c r="P843" s="302"/>
      <c r="Q843" s="302"/>
      <c r="R843" s="302"/>
      <c r="S843" s="302"/>
      <c r="T843" s="413"/>
      <c r="U843" s="302"/>
      <c r="V843" s="302"/>
      <c r="W843" s="302"/>
      <c r="X843" s="302"/>
      <c r="Y843" s="302"/>
      <c r="Z843" s="302"/>
      <c r="AA843" s="302"/>
    </row>
    <row r="844" spans="1:27" ht="16" x14ac:dyDescent="0.2">
      <c r="A844" s="302"/>
      <c r="B844" s="302"/>
      <c r="C844" s="302"/>
      <c r="D844" s="302"/>
      <c r="E844" s="302"/>
      <c r="F844" s="302"/>
      <c r="G844" s="302"/>
      <c r="H844" s="302"/>
      <c r="I844" s="302"/>
      <c r="J844" s="302"/>
      <c r="K844" s="302"/>
      <c r="L844" s="302"/>
      <c r="M844" s="302"/>
      <c r="N844" s="302"/>
      <c r="O844" s="302"/>
      <c r="P844" s="302"/>
      <c r="Q844" s="302"/>
      <c r="R844" s="302"/>
      <c r="S844" s="302"/>
      <c r="T844" s="413"/>
      <c r="U844" s="302"/>
      <c r="V844" s="302"/>
      <c r="W844" s="302"/>
      <c r="X844" s="302"/>
      <c r="Y844" s="302"/>
      <c r="Z844" s="302"/>
      <c r="AA844" s="302"/>
    </row>
    <row r="845" spans="1:27" ht="16" x14ac:dyDescent="0.2">
      <c r="A845" s="302"/>
      <c r="B845" s="302"/>
      <c r="C845" s="302"/>
      <c r="D845" s="302"/>
      <c r="E845" s="302"/>
      <c r="F845" s="302"/>
      <c r="G845" s="302"/>
      <c r="H845" s="302"/>
      <c r="I845" s="302"/>
      <c r="J845" s="302"/>
      <c r="K845" s="302"/>
      <c r="L845" s="302"/>
      <c r="M845" s="302"/>
      <c r="N845" s="302"/>
      <c r="O845" s="302"/>
      <c r="P845" s="302"/>
      <c r="Q845" s="302"/>
      <c r="R845" s="302"/>
      <c r="S845" s="302"/>
      <c r="T845" s="413"/>
      <c r="U845" s="302"/>
      <c r="V845" s="302"/>
      <c r="W845" s="302"/>
      <c r="X845" s="302"/>
      <c r="Y845" s="302"/>
      <c r="Z845" s="302"/>
      <c r="AA845" s="302"/>
    </row>
    <row r="846" spans="1:27" ht="16" x14ac:dyDescent="0.2">
      <c r="A846" s="302"/>
      <c r="B846" s="302"/>
      <c r="C846" s="302"/>
      <c r="D846" s="302"/>
      <c r="E846" s="302"/>
      <c r="F846" s="302"/>
      <c r="G846" s="302"/>
      <c r="H846" s="302"/>
      <c r="I846" s="302"/>
      <c r="J846" s="302"/>
      <c r="K846" s="302"/>
      <c r="L846" s="302"/>
      <c r="M846" s="302"/>
      <c r="N846" s="302"/>
      <c r="O846" s="302"/>
      <c r="P846" s="302"/>
      <c r="Q846" s="302"/>
      <c r="R846" s="302"/>
      <c r="S846" s="302"/>
      <c r="T846" s="413"/>
      <c r="U846" s="302"/>
      <c r="V846" s="302"/>
      <c r="W846" s="302"/>
      <c r="X846" s="302"/>
      <c r="Y846" s="302"/>
      <c r="Z846" s="302"/>
      <c r="AA846" s="302"/>
    </row>
    <row r="847" spans="1:27" ht="16" x14ac:dyDescent="0.2">
      <c r="A847" s="302"/>
      <c r="B847" s="302"/>
      <c r="C847" s="302"/>
      <c r="D847" s="302"/>
      <c r="E847" s="302"/>
      <c r="F847" s="302"/>
      <c r="G847" s="302"/>
      <c r="H847" s="302"/>
      <c r="I847" s="302"/>
      <c r="J847" s="302"/>
      <c r="K847" s="302"/>
      <c r="L847" s="302"/>
      <c r="M847" s="302"/>
      <c r="N847" s="302"/>
      <c r="O847" s="302"/>
      <c r="P847" s="302"/>
      <c r="Q847" s="302"/>
      <c r="R847" s="302"/>
      <c r="S847" s="302"/>
      <c r="T847" s="413"/>
      <c r="U847" s="302"/>
      <c r="V847" s="302"/>
      <c r="W847" s="302"/>
      <c r="X847" s="302"/>
      <c r="Y847" s="302"/>
      <c r="Z847" s="302"/>
      <c r="AA847" s="302"/>
    </row>
    <row r="848" spans="1:27" ht="16" x14ac:dyDescent="0.2">
      <c r="A848" s="302"/>
      <c r="B848" s="302"/>
      <c r="C848" s="302"/>
      <c r="D848" s="302"/>
      <c r="E848" s="302"/>
      <c r="F848" s="302"/>
      <c r="G848" s="302"/>
      <c r="H848" s="302"/>
      <c r="I848" s="302"/>
      <c r="J848" s="302"/>
      <c r="K848" s="302"/>
      <c r="L848" s="302"/>
      <c r="M848" s="302"/>
      <c r="N848" s="302"/>
      <c r="O848" s="302"/>
      <c r="P848" s="302"/>
      <c r="Q848" s="302"/>
      <c r="R848" s="302"/>
      <c r="S848" s="302"/>
      <c r="T848" s="413"/>
      <c r="U848" s="302"/>
      <c r="V848" s="302"/>
      <c r="W848" s="302"/>
      <c r="X848" s="302"/>
      <c r="Y848" s="302"/>
      <c r="Z848" s="302"/>
      <c r="AA848" s="302"/>
    </row>
    <row r="849" spans="1:27" ht="16" x14ac:dyDescent="0.2">
      <c r="A849" s="302"/>
      <c r="B849" s="302"/>
      <c r="C849" s="302"/>
      <c r="D849" s="302"/>
      <c r="E849" s="302"/>
      <c r="F849" s="302"/>
      <c r="G849" s="302"/>
      <c r="H849" s="302"/>
      <c r="I849" s="302"/>
      <c r="J849" s="302"/>
      <c r="K849" s="302"/>
      <c r="L849" s="302"/>
      <c r="M849" s="302"/>
      <c r="N849" s="302"/>
      <c r="O849" s="302"/>
      <c r="P849" s="302"/>
      <c r="Q849" s="302"/>
      <c r="R849" s="302"/>
      <c r="S849" s="302"/>
      <c r="T849" s="413"/>
      <c r="U849" s="302"/>
      <c r="V849" s="302"/>
      <c r="W849" s="302"/>
      <c r="X849" s="302"/>
      <c r="Y849" s="302"/>
      <c r="Z849" s="302"/>
      <c r="AA849" s="302"/>
    </row>
    <row r="850" spans="1:27" ht="16" x14ac:dyDescent="0.2">
      <c r="A850" s="302"/>
      <c r="B850" s="302"/>
      <c r="C850" s="302"/>
      <c r="D850" s="302"/>
      <c r="E850" s="302"/>
      <c r="F850" s="302"/>
      <c r="G850" s="302"/>
      <c r="H850" s="302"/>
      <c r="I850" s="302"/>
      <c r="J850" s="302"/>
      <c r="K850" s="302"/>
      <c r="L850" s="302"/>
      <c r="M850" s="302"/>
      <c r="N850" s="302"/>
      <c r="O850" s="302"/>
      <c r="P850" s="302"/>
      <c r="Q850" s="302"/>
      <c r="R850" s="302"/>
      <c r="S850" s="302"/>
      <c r="T850" s="413"/>
      <c r="U850" s="302"/>
      <c r="V850" s="302"/>
      <c r="W850" s="302"/>
      <c r="X850" s="302"/>
      <c r="Y850" s="302"/>
      <c r="Z850" s="302"/>
      <c r="AA850" s="302"/>
    </row>
    <row r="851" spans="1:27" ht="16" x14ac:dyDescent="0.2">
      <c r="A851" s="302"/>
      <c r="B851" s="302"/>
      <c r="C851" s="302"/>
      <c r="D851" s="302"/>
      <c r="E851" s="302"/>
      <c r="F851" s="302"/>
      <c r="G851" s="302"/>
      <c r="H851" s="302"/>
      <c r="I851" s="302"/>
      <c r="J851" s="302"/>
      <c r="K851" s="302"/>
      <c r="L851" s="302"/>
      <c r="M851" s="302"/>
      <c r="N851" s="302"/>
      <c r="O851" s="302"/>
      <c r="P851" s="302"/>
      <c r="Q851" s="302"/>
      <c r="R851" s="302"/>
      <c r="S851" s="302"/>
      <c r="T851" s="413"/>
      <c r="U851" s="302"/>
      <c r="V851" s="302"/>
      <c r="W851" s="302"/>
      <c r="X851" s="302"/>
      <c r="Y851" s="302"/>
      <c r="Z851" s="302"/>
      <c r="AA851" s="302"/>
    </row>
    <row r="852" spans="1:27" ht="16" x14ac:dyDescent="0.2">
      <c r="A852" s="302"/>
      <c r="B852" s="302"/>
      <c r="C852" s="302"/>
      <c r="D852" s="302"/>
      <c r="E852" s="302"/>
      <c r="F852" s="302"/>
      <c r="G852" s="302"/>
      <c r="H852" s="302"/>
      <c r="I852" s="302"/>
      <c r="J852" s="302"/>
      <c r="K852" s="302"/>
      <c r="L852" s="302"/>
      <c r="M852" s="302"/>
      <c r="N852" s="302"/>
      <c r="O852" s="302"/>
      <c r="P852" s="302"/>
      <c r="Q852" s="302"/>
      <c r="R852" s="302"/>
      <c r="S852" s="302"/>
      <c r="T852" s="413"/>
      <c r="U852" s="302"/>
      <c r="V852" s="302"/>
      <c r="W852" s="302"/>
      <c r="X852" s="302"/>
      <c r="Y852" s="302"/>
      <c r="Z852" s="302"/>
      <c r="AA852" s="302"/>
    </row>
    <row r="853" spans="1:27" ht="16" x14ac:dyDescent="0.2">
      <c r="A853" s="302"/>
      <c r="B853" s="302"/>
      <c r="C853" s="302"/>
      <c r="D853" s="302"/>
      <c r="E853" s="302"/>
      <c r="F853" s="302"/>
      <c r="G853" s="302"/>
      <c r="H853" s="302"/>
      <c r="I853" s="302"/>
      <c r="J853" s="302"/>
      <c r="K853" s="302"/>
      <c r="L853" s="302"/>
      <c r="M853" s="302"/>
      <c r="N853" s="302"/>
      <c r="O853" s="302"/>
      <c r="P853" s="302"/>
      <c r="Q853" s="302"/>
      <c r="R853" s="302"/>
      <c r="S853" s="302"/>
      <c r="T853" s="413"/>
      <c r="U853" s="302"/>
      <c r="V853" s="302"/>
      <c r="W853" s="302"/>
      <c r="X853" s="302"/>
      <c r="Y853" s="302"/>
      <c r="Z853" s="302"/>
      <c r="AA853" s="302"/>
    </row>
    <row r="854" spans="1:27" ht="16" x14ac:dyDescent="0.2">
      <c r="A854" s="302"/>
      <c r="B854" s="302"/>
      <c r="C854" s="302"/>
      <c r="D854" s="302"/>
      <c r="E854" s="302"/>
      <c r="F854" s="302"/>
      <c r="G854" s="302"/>
      <c r="H854" s="302"/>
      <c r="I854" s="302"/>
      <c r="J854" s="302"/>
      <c r="K854" s="302"/>
      <c r="L854" s="302"/>
      <c r="M854" s="302"/>
      <c r="N854" s="302"/>
      <c r="O854" s="302"/>
      <c r="P854" s="302"/>
      <c r="Q854" s="302"/>
      <c r="R854" s="302"/>
      <c r="S854" s="302"/>
      <c r="T854" s="413"/>
      <c r="U854" s="302"/>
      <c r="V854" s="302"/>
      <c r="W854" s="302"/>
      <c r="X854" s="302"/>
      <c r="Y854" s="302"/>
      <c r="Z854" s="302"/>
      <c r="AA854" s="302"/>
    </row>
    <row r="855" spans="1:27" ht="16" x14ac:dyDescent="0.2">
      <c r="A855" s="302"/>
      <c r="B855" s="302"/>
      <c r="C855" s="302"/>
      <c r="D855" s="302"/>
      <c r="E855" s="302"/>
      <c r="F855" s="302"/>
      <c r="G855" s="302"/>
      <c r="H855" s="302"/>
      <c r="I855" s="302"/>
      <c r="J855" s="302"/>
      <c r="K855" s="302"/>
      <c r="L855" s="302"/>
      <c r="M855" s="302"/>
      <c r="N855" s="302"/>
      <c r="O855" s="302"/>
      <c r="P855" s="302"/>
      <c r="Q855" s="302"/>
      <c r="R855" s="302"/>
      <c r="S855" s="302"/>
      <c r="T855" s="413"/>
      <c r="U855" s="302"/>
      <c r="V855" s="302"/>
      <c r="W855" s="302"/>
      <c r="X855" s="302"/>
      <c r="Y855" s="302"/>
      <c r="Z855" s="302"/>
      <c r="AA855" s="302"/>
    </row>
    <row r="856" spans="1:27" ht="16" x14ac:dyDescent="0.2">
      <c r="A856" s="302"/>
      <c r="B856" s="302"/>
      <c r="C856" s="302"/>
      <c r="D856" s="302"/>
      <c r="E856" s="302"/>
      <c r="F856" s="302"/>
      <c r="G856" s="302"/>
      <c r="H856" s="302"/>
      <c r="I856" s="302"/>
      <c r="J856" s="302"/>
      <c r="K856" s="302"/>
      <c r="L856" s="302"/>
      <c r="M856" s="302"/>
      <c r="N856" s="302"/>
      <c r="O856" s="302"/>
      <c r="P856" s="302"/>
      <c r="Q856" s="302"/>
      <c r="R856" s="302"/>
      <c r="S856" s="302"/>
      <c r="T856" s="413"/>
      <c r="U856" s="302"/>
      <c r="V856" s="302"/>
      <c r="W856" s="302"/>
      <c r="X856" s="302"/>
      <c r="Y856" s="302"/>
      <c r="Z856" s="302"/>
      <c r="AA856" s="302"/>
    </row>
    <row r="857" spans="1:27" ht="16" x14ac:dyDescent="0.2">
      <c r="A857" s="302"/>
      <c r="B857" s="302"/>
      <c r="C857" s="302"/>
      <c r="D857" s="302"/>
      <c r="E857" s="302"/>
      <c r="F857" s="302"/>
      <c r="G857" s="302"/>
      <c r="H857" s="302"/>
      <c r="I857" s="302"/>
      <c r="J857" s="302"/>
      <c r="K857" s="302"/>
      <c r="L857" s="302"/>
      <c r="M857" s="302"/>
      <c r="N857" s="302"/>
      <c r="O857" s="302"/>
      <c r="P857" s="302"/>
      <c r="Q857" s="302"/>
      <c r="R857" s="302"/>
      <c r="S857" s="302"/>
      <c r="T857" s="413"/>
      <c r="U857" s="302"/>
      <c r="V857" s="302"/>
      <c r="W857" s="302"/>
      <c r="X857" s="302"/>
      <c r="Y857" s="302"/>
      <c r="Z857" s="302"/>
      <c r="AA857" s="302"/>
    </row>
    <row r="858" spans="1:27" ht="16" x14ac:dyDescent="0.2">
      <c r="A858" s="302"/>
      <c r="B858" s="302"/>
      <c r="C858" s="302"/>
      <c r="D858" s="302"/>
      <c r="E858" s="302"/>
      <c r="F858" s="302"/>
      <c r="G858" s="302"/>
      <c r="H858" s="302"/>
      <c r="I858" s="302"/>
      <c r="J858" s="302"/>
      <c r="K858" s="302"/>
      <c r="L858" s="302"/>
      <c r="M858" s="302"/>
      <c r="N858" s="302"/>
      <c r="O858" s="302"/>
      <c r="P858" s="302"/>
      <c r="Q858" s="302"/>
      <c r="R858" s="302"/>
      <c r="S858" s="302"/>
      <c r="T858" s="413"/>
      <c r="U858" s="302"/>
      <c r="V858" s="302"/>
      <c r="W858" s="302"/>
      <c r="X858" s="302"/>
      <c r="Y858" s="302"/>
      <c r="Z858" s="302"/>
      <c r="AA858" s="302"/>
    </row>
    <row r="859" spans="1:27" ht="16" x14ac:dyDescent="0.2">
      <c r="A859" s="302"/>
      <c r="B859" s="302"/>
      <c r="C859" s="302"/>
      <c r="D859" s="302"/>
      <c r="E859" s="302"/>
      <c r="F859" s="302"/>
      <c r="G859" s="302"/>
      <c r="H859" s="302"/>
      <c r="I859" s="302"/>
      <c r="J859" s="302"/>
      <c r="K859" s="302"/>
      <c r="L859" s="302"/>
      <c r="M859" s="302"/>
      <c r="N859" s="302"/>
      <c r="O859" s="302"/>
      <c r="P859" s="302"/>
      <c r="Q859" s="302"/>
      <c r="R859" s="302"/>
      <c r="S859" s="302"/>
      <c r="T859" s="413"/>
      <c r="U859" s="302"/>
      <c r="V859" s="302"/>
      <c r="W859" s="302"/>
      <c r="X859" s="302"/>
      <c r="Y859" s="302"/>
      <c r="Z859" s="302"/>
      <c r="AA859" s="302"/>
    </row>
    <row r="860" spans="1:27" ht="16" x14ac:dyDescent="0.2">
      <c r="A860" s="302"/>
      <c r="B860" s="302"/>
      <c r="C860" s="302"/>
      <c r="D860" s="302"/>
      <c r="E860" s="302"/>
      <c r="F860" s="302"/>
      <c r="G860" s="302"/>
      <c r="H860" s="302"/>
      <c r="I860" s="302"/>
      <c r="J860" s="302"/>
      <c r="K860" s="302"/>
      <c r="L860" s="302"/>
      <c r="M860" s="302"/>
      <c r="N860" s="302"/>
      <c r="O860" s="302"/>
      <c r="P860" s="302"/>
      <c r="Q860" s="302"/>
      <c r="R860" s="302"/>
      <c r="S860" s="302"/>
      <c r="T860" s="413"/>
      <c r="U860" s="302"/>
      <c r="V860" s="302"/>
      <c r="W860" s="302"/>
      <c r="X860" s="302"/>
      <c r="Y860" s="302"/>
      <c r="Z860" s="302"/>
      <c r="AA860" s="302"/>
    </row>
    <row r="861" spans="1:27" ht="16" x14ac:dyDescent="0.2">
      <c r="A861" s="302"/>
      <c r="B861" s="302"/>
      <c r="C861" s="302"/>
      <c r="D861" s="302"/>
      <c r="E861" s="302"/>
      <c r="F861" s="302"/>
      <c r="G861" s="302"/>
      <c r="H861" s="302"/>
      <c r="I861" s="302"/>
      <c r="J861" s="302"/>
      <c r="K861" s="302"/>
      <c r="L861" s="302"/>
      <c r="M861" s="302"/>
      <c r="N861" s="302"/>
      <c r="O861" s="302"/>
      <c r="P861" s="302"/>
      <c r="Q861" s="302"/>
      <c r="R861" s="302"/>
      <c r="S861" s="302"/>
      <c r="T861" s="413"/>
      <c r="U861" s="302"/>
      <c r="V861" s="302"/>
      <c r="W861" s="302"/>
      <c r="X861" s="302"/>
      <c r="Y861" s="302"/>
      <c r="Z861" s="302"/>
      <c r="AA861" s="302"/>
    </row>
    <row r="862" spans="1:27" ht="16" x14ac:dyDescent="0.2">
      <c r="A862" s="302"/>
      <c r="B862" s="302"/>
      <c r="C862" s="302"/>
      <c r="D862" s="302"/>
      <c r="E862" s="302"/>
      <c r="F862" s="302"/>
      <c r="G862" s="302"/>
      <c r="H862" s="302"/>
      <c r="I862" s="302"/>
      <c r="J862" s="302"/>
      <c r="K862" s="302"/>
      <c r="L862" s="302"/>
      <c r="M862" s="302"/>
      <c r="N862" s="302"/>
      <c r="O862" s="302"/>
      <c r="P862" s="302"/>
      <c r="Q862" s="302"/>
      <c r="R862" s="302"/>
      <c r="S862" s="302"/>
      <c r="T862" s="413"/>
      <c r="U862" s="302"/>
      <c r="V862" s="302"/>
      <c r="W862" s="302"/>
      <c r="X862" s="302"/>
      <c r="Y862" s="302"/>
      <c r="Z862" s="302"/>
      <c r="AA862" s="302"/>
    </row>
    <row r="863" spans="1:27" ht="16" x14ac:dyDescent="0.2">
      <c r="A863" s="302"/>
      <c r="B863" s="302"/>
      <c r="C863" s="302"/>
      <c r="D863" s="302"/>
      <c r="E863" s="302"/>
      <c r="F863" s="302"/>
      <c r="G863" s="302"/>
      <c r="H863" s="302"/>
      <c r="I863" s="302"/>
      <c r="J863" s="302"/>
      <c r="K863" s="302"/>
      <c r="L863" s="302"/>
      <c r="M863" s="302"/>
      <c r="N863" s="302"/>
      <c r="O863" s="302"/>
      <c r="P863" s="302"/>
      <c r="Q863" s="302"/>
      <c r="R863" s="302"/>
      <c r="S863" s="302"/>
      <c r="T863" s="413"/>
      <c r="U863" s="302"/>
      <c r="V863" s="302"/>
      <c r="W863" s="302"/>
      <c r="X863" s="302"/>
      <c r="Y863" s="302"/>
      <c r="Z863" s="302"/>
      <c r="AA863" s="302"/>
    </row>
    <row r="864" spans="1:27" ht="16" x14ac:dyDescent="0.2">
      <c r="A864" s="302"/>
      <c r="B864" s="302"/>
      <c r="C864" s="302"/>
      <c r="D864" s="302"/>
      <c r="E864" s="302"/>
      <c r="F864" s="302"/>
      <c r="G864" s="302"/>
      <c r="H864" s="302"/>
      <c r="I864" s="302"/>
      <c r="J864" s="302"/>
      <c r="K864" s="302"/>
      <c r="L864" s="302"/>
      <c r="M864" s="302"/>
      <c r="N864" s="302"/>
      <c r="O864" s="302"/>
      <c r="P864" s="302"/>
      <c r="Q864" s="302"/>
      <c r="R864" s="302"/>
      <c r="S864" s="302"/>
      <c r="T864" s="413"/>
      <c r="U864" s="302"/>
      <c r="V864" s="302"/>
      <c r="W864" s="302"/>
      <c r="X864" s="302"/>
      <c r="Y864" s="302"/>
      <c r="Z864" s="302"/>
      <c r="AA864" s="302"/>
    </row>
    <row r="865" spans="1:27" ht="16" x14ac:dyDescent="0.2">
      <c r="A865" s="302"/>
      <c r="B865" s="302"/>
      <c r="C865" s="302"/>
      <c r="D865" s="302"/>
      <c r="E865" s="302"/>
      <c r="F865" s="302"/>
      <c r="G865" s="302"/>
      <c r="H865" s="302"/>
      <c r="I865" s="302"/>
      <c r="J865" s="302"/>
      <c r="K865" s="302"/>
      <c r="L865" s="302"/>
      <c r="M865" s="302"/>
      <c r="N865" s="302"/>
      <c r="O865" s="302"/>
      <c r="P865" s="302"/>
      <c r="Q865" s="302"/>
      <c r="R865" s="302"/>
      <c r="S865" s="302"/>
      <c r="T865" s="413"/>
      <c r="U865" s="302"/>
      <c r="V865" s="302"/>
      <c r="W865" s="302"/>
      <c r="X865" s="302"/>
      <c r="Y865" s="302"/>
      <c r="Z865" s="302"/>
      <c r="AA865" s="302"/>
    </row>
    <row r="866" spans="1:27" ht="16" x14ac:dyDescent="0.2">
      <c r="A866" s="302"/>
      <c r="B866" s="302"/>
      <c r="C866" s="302"/>
      <c r="D866" s="302"/>
      <c r="E866" s="302"/>
      <c r="F866" s="302"/>
      <c r="G866" s="302"/>
      <c r="H866" s="302"/>
      <c r="I866" s="302"/>
      <c r="J866" s="302"/>
      <c r="K866" s="302"/>
      <c r="L866" s="302"/>
      <c r="M866" s="302"/>
      <c r="N866" s="302"/>
      <c r="O866" s="302"/>
      <c r="P866" s="302"/>
      <c r="Q866" s="302"/>
      <c r="R866" s="302"/>
      <c r="S866" s="302"/>
      <c r="T866" s="413"/>
      <c r="U866" s="302"/>
      <c r="V866" s="302"/>
      <c r="W866" s="302"/>
      <c r="X866" s="302"/>
      <c r="Y866" s="302"/>
      <c r="Z866" s="302"/>
      <c r="AA866" s="302"/>
    </row>
    <row r="867" spans="1:27" ht="16" x14ac:dyDescent="0.2">
      <c r="A867" s="302"/>
      <c r="B867" s="302"/>
      <c r="C867" s="302"/>
      <c r="D867" s="302"/>
      <c r="E867" s="302"/>
      <c r="F867" s="302"/>
      <c r="G867" s="302"/>
      <c r="H867" s="302"/>
      <c r="I867" s="302"/>
      <c r="J867" s="302"/>
      <c r="K867" s="302"/>
      <c r="L867" s="302"/>
      <c r="M867" s="302"/>
      <c r="N867" s="302"/>
      <c r="O867" s="302"/>
      <c r="P867" s="302"/>
      <c r="Q867" s="302"/>
      <c r="R867" s="302"/>
      <c r="S867" s="302"/>
      <c r="T867" s="413"/>
      <c r="U867" s="302"/>
      <c r="V867" s="302"/>
      <c r="W867" s="302"/>
      <c r="X867" s="302"/>
      <c r="Y867" s="302"/>
      <c r="Z867" s="302"/>
      <c r="AA867" s="302"/>
    </row>
    <row r="868" spans="1:27" ht="16" x14ac:dyDescent="0.2">
      <c r="A868" s="302"/>
      <c r="B868" s="302"/>
      <c r="C868" s="302"/>
      <c r="D868" s="302"/>
      <c r="E868" s="302"/>
      <c r="F868" s="302"/>
      <c r="G868" s="302"/>
      <c r="H868" s="302"/>
      <c r="I868" s="302"/>
      <c r="J868" s="302"/>
      <c r="K868" s="302"/>
      <c r="L868" s="302"/>
      <c r="M868" s="302"/>
      <c r="N868" s="302"/>
      <c r="O868" s="302"/>
      <c r="P868" s="302"/>
      <c r="Q868" s="302"/>
      <c r="R868" s="302"/>
      <c r="S868" s="302"/>
      <c r="T868" s="413"/>
      <c r="U868" s="302"/>
      <c r="V868" s="302"/>
      <c r="W868" s="302"/>
      <c r="X868" s="302"/>
      <c r="Y868" s="302"/>
      <c r="Z868" s="302"/>
      <c r="AA868" s="302"/>
    </row>
    <row r="869" spans="1:27" ht="16" x14ac:dyDescent="0.2">
      <c r="A869" s="302"/>
      <c r="B869" s="302"/>
      <c r="C869" s="302"/>
      <c r="D869" s="302"/>
      <c r="E869" s="302"/>
      <c r="F869" s="302"/>
      <c r="G869" s="302"/>
      <c r="H869" s="302"/>
      <c r="I869" s="302"/>
      <c r="J869" s="302"/>
      <c r="K869" s="302"/>
      <c r="L869" s="302"/>
      <c r="M869" s="302"/>
      <c r="N869" s="302"/>
      <c r="O869" s="302"/>
      <c r="P869" s="302"/>
      <c r="Q869" s="302"/>
      <c r="R869" s="302"/>
      <c r="S869" s="302"/>
      <c r="T869" s="413"/>
      <c r="U869" s="302"/>
      <c r="V869" s="302"/>
      <c r="W869" s="302"/>
      <c r="X869" s="302"/>
      <c r="Y869" s="302"/>
      <c r="Z869" s="302"/>
      <c r="AA869" s="302"/>
    </row>
    <row r="870" spans="1:27" ht="16" x14ac:dyDescent="0.2">
      <c r="A870" s="302"/>
      <c r="B870" s="302"/>
      <c r="C870" s="302"/>
      <c r="D870" s="302"/>
      <c r="E870" s="302"/>
      <c r="F870" s="302"/>
      <c r="G870" s="302"/>
      <c r="H870" s="302"/>
      <c r="I870" s="302"/>
      <c r="J870" s="302"/>
      <c r="K870" s="302"/>
      <c r="L870" s="302"/>
      <c r="M870" s="302"/>
      <c r="N870" s="302"/>
      <c r="O870" s="302"/>
      <c r="P870" s="302"/>
      <c r="Q870" s="302"/>
      <c r="R870" s="302"/>
      <c r="S870" s="302"/>
      <c r="T870" s="413"/>
      <c r="U870" s="302"/>
      <c r="V870" s="302"/>
      <c r="W870" s="302"/>
      <c r="X870" s="302"/>
      <c r="Y870" s="302"/>
      <c r="Z870" s="302"/>
      <c r="AA870" s="302"/>
    </row>
    <row r="871" spans="1:27" ht="16" x14ac:dyDescent="0.2">
      <c r="A871" s="302"/>
      <c r="B871" s="302"/>
      <c r="C871" s="302"/>
      <c r="D871" s="302"/>
      <c r="E871" s="302"/>
      <c r="F871" s="302"/>
      <c r="G871" s="302"/>
      <c r="H871" s="302"/>
      <c r="I871" s="302"/>
      <c r="J871" s="302"/>
      <c r="K871" s="302"/>
      <c r="L871" s="302"/>
      <c r="M871" s="302"/>
      <c r="N871" s="302"/>
      <c r="O871" s="302"/>
      <c r="P871" s="302"/>
      <c r="Q871" s="302"/>
      <c r="R871" s="302"/>
      <c r="S871" s="302"/>
      <c r="T871" s="413"/>
      <c r="U871" s="302"/>
      <c r="V871" s="302"/>
      <c r="W871" s="302"/>
      <c r="X871" s="302"/>
      <c r="Y871" s="302"/>
      <c r="Z871" s="302"/>
      <c r="AA871" s="302"/>
    </row>
    <row r="872" spans="1:27" ht="16" x14ac:dyDescent="0.2">
      <c r="A872" s="302"/>
      <c r="B872" s="302"/>
      <c r="C872" s="302"/>
      <c r="D872" s="302"/>
      <c r="E872" s="302"/>
      <c r="F872" s="302"/>
      <c r="G872" s="302"/>
      <c r="H872" s="302"/>
      <c r="I872" s="302"/>
      <c r="J872" s="302"/>
      <c r="K872" s="302"/>
      <c r="L872" s="302"/>
      <c r="M872" s="302"/>
      <c r="N872" s="302"/>
      <c r="O872" s="302"/>
      <c r="P872" s="302"/>
      <c r="Q872" s="302"/>
      <c r="R872" s="302"/>
      <c r="S872" s="302"/>
      <c r="T872" s="413"/>
      <c r="U872" s="302"/>
      <c r="V872" s="302"/>
      <c r="W872" s="302"/>
      <c r="X872" s="302"/>
      <c r="Y872" s="302"/>
      <c r="Z872" s="302"/>
      <c r="AA872" s="302"/>
    </row>
    <row r="873" spans="1:27" ht="16" x14ac:dyDescent="0.2">
      <c r="A873" s="302"/>
      <c r="B873" s="302"/>
      <c r="C873" s="302"/>
      <c r="D873" s="302"/>
      <c r="E873" s="302"/>
      <c r="F873" s="302"/>
      <c r="G873" s="302"/>
      <c r="H873" s="302"/>
      <c r="I873" s="302"/>
      <c r="J873" s="302"/>
      <c r="K873" s="302"/>
      <c r="L873" s="302"/>
      <c r="M873" s="302"/>
      <c r="N873" s="302"/>
      <c r="O873" s="302"/>
      <c r="P873" s="302"/>
      <c r="Q873" s="302"/>
      <c r="R873" s="302"/>
      <c r="S873" s="302"/>
      <c r="T873" s="413"/>
      <c r="U873" s="302"/>
      <c r="V873" s="302"/>
      <c r="W873" s="302"/>
      <c r="X873" s="302"/>
      <c r="Y873" s="302"/>
      <c r="Z873" s="302"/>
      <c r="AA873" s="302"/>
    </row>
    <row r="874" spans="1:27" ht="16" x14ac:dyDescent="0.2">
      <c r="A874" s="302"/>
      <c r="B874" s="302"/>
      <c r="C874" s="302"/>
      <c r="D874" s="302"/>
      <c r="E874" s="302"/>
      <c r="F874" s="302"/>
      <c r="G874" s="302"/>
      <c r="H874" s="302"/>
      <c r="I874" s="302"/>
      <c r="J874" s="302"/>
      <c r="K874" s="302"/>
      <c r="L874" s="302"/>
      <c r="M874" s="302"/>
      <c r="N874" s="302"/>
      <c r="O874" s="302"/>
      <c r="P874" s="302"/>
      <c r="Q874" s="302"/>
      <c r="R874" s="302"/>
      <c r="S874" s="302"/>
      <c r="T874" s="413"/>
      <c r="U874" s="302"/>
      <c r="V874" s="302"/>
      <c r="W874" s="302"/>
      <c r="X874" s="302"/>
      <c r="Y874" s="302"/>
      <c r="Z874" s="302"/>
      <c r="AA874" s="302"/>
    </row>
    <row r="875" spans="1:27" ht="16" x14ac:dyDescent="0.2">
      <c r="A875" s="302"/>
      <c r="B875" s="302"/>
      <c r="C875" s="302"/>
      <c r="D875" s="302"/>
      <c r="E875" s="302"/>
      <c r="F875" s="302"/>
      <c r="G875" s="302"/>
      <c r="H875" s="302"/>
      <c r="I875" s="302"/>
      <c r="J875" s="302"/>
      <c r="K875" s="302"/>
      <c r="L875" s="302"/>
      <c r="M875" s="302"/>
      <c r="N875" s="302"/>
      <c r="O875" s="302"/>
      <c r="P875" s="302"/>
      <c r="Q875" s="302"/>
      <c r="R875" s="302"/>
      <c r="S875" s="302"/>
      <c r="T875" s="413"/>
      <c r="U875" s="302"/>
      <c r="V875" s="302"/>
      <c r="W875" s="302"/>
      <c r="X875" s="302"/>
      <c r="Y875" s="302"/>
      <c r="Z875" s="302"/>
      <c r="AA875" s="302"/>
    </row>
    <row r="876" spans="1:27" ht="16" x14ac:dyDescent="0.2">
      <c r="A876" s="302"/>
      <c r="B876" s="302"/>
      <c r="C876" s="302"/>
      <c r="D876" s="302"/>
      <c r="E876" s="302"/>
      <c r="F876" s="302"/>
      <c r="G876" s="302"/>
      <c r="H876" s="302"/>
      <c r="I876" s="302"/>
      <c r="J876" s="302"/>
      <c r="K876" s="302"/>
      <c r="L876" s="302"/>
      <c r="M876" s="302"/>
      <c r="N876" s="302"/>
      <c r="O876" s="302"/>
      <c r="P876" s="302"/>
      <c r="Q876" s="302"/>
      <c r="R876" s="302"/>
      <c r="S876" s="302"/>
      <c r="T876" s="413"/>
      <c r="U876" s="302"/>
      <c r="V876" s="302"/>
      <c r="W876" s="302"/>
      <c r="X876" s="302"/>
      <c r="Y876" s="302"/>
      <c r="Z876" s="302"/>
      <c r="AA876" s="302"/>
    </row>
    <row r="877" spans="1:27" ht="16" x14ac:dyDescent="0.2">
      <c r="A877" s="302"/>
      <c r="B877" s="302"/>
      <c r="C877" s="302"/>
      <c r="D877" s="302"/>
      <c r="E877" s="302"/>
      <c r="F877" s="302"/>
      <c r="G877" s="302"/>
      <c r="H877" s="302"/>
      <c r="I877" s="302"/>
      <c r="J877" s="302"/>
      <c r="K877" s="302"/>
      <c r="L877" s="302"/>
      <c r="M877" s="302"/>
      <c r="N877" s="302"/>
      <c r="O877" s="302"/>
      <c r="P877" s="302"/>
      <c r="Q877" s="302"/>
      <c r="R877" s="302"/>
      <c r="S877" s="302"/>
      <c r="T877" s="413"/>
      <c r="U877" s="302"/>
      <c r="V877" s="302"/>
      <c r="W877" s="302"/>
      <c r="X877" s="302"/>
      <c r="Y877" s="302"/>
      <c r="Z877" s="302"/>
      <c r="AA877" s="302"/>
    </row>
    <row r="878" spans="1:27" ht="16" x14ac:dyDescent="0.2">
      <c r="A878" s="302"/>
      <c r="B878" s="302"/>
      <c r="C878" s="302"/>
      <c r="D878" s="302"/>
      <c r="E878" s="302"/>
      <c r="F878" s="302"/>
      <c r="G878" s="302"/>
      <c r="H878" s="302"/>
      <c r="I878" s="302"/>
      <c r="J878" s="302"/>
      <c r="K878" s="302"/>
      <c r="L878" s="302"/>
      <c r="M878" s="302"/>
      <c r="N878" s="302"/>
      <c r="O878" s="302"/>
      <c r="P878" s="302"/>
      <c r="Q878" s="302"/>
      <c r="R878" s="302"/>
      <c r="S878" s="302"/>
      <c r="T878" s="413"/>
      <c r="U878" s="302"/>
      <c r="V878" s="302"/>
      <c r="W878" s="302"/>
      <c r="X878" s="302"/>
      <c r="Y878" s="302"/>
      <c r="Z878" s="302"/>
      <c r="AA878" s="302"/>
    </row>
    <row r="879" spans="1:27" ht="16" x14ac:dyDescent="0.2">
      <c r="A879" s="302"/>
      <c r="B879" s="302"/>
      <c r="C879" s="302"/>
      <c r="D879" s="302"/>
      <c r="E879" s="302"/>
      <c r="F879" s="302"/>
      <c r="G879" s="302"/>
      <c r="H879" s="302"/>
      <c r="I879" s="302"/>
      <c r="J879" s="302"/>
      <c r="K879" s="302"/>
      <c r="L879" s="302"/>
      <c r="M879" s="302"/>
      <c r="N879" s="302"/>
      <c r="O879" s="302"/>
      <c r="P879" s="302"/>
      <c r="Q879" s="302"/>
      <c r="R879" s="302"/>
      <c r="S879" s="302"/>
      <c r="T879" s="413"/>
      <c r="U879" s="302"/>
      <c r="V879" s="302"/>
      <c r="W879" s="302"/>
      <c r="X879" s="302"/>
      <c r="Y879" s="302"/>
      <c r="Z879" s="302"/>
      <c r="AA879" s="302"/>
    </row>
    <row r="880" spans="1:27" ht="16" x14ac:dyDescent="0.2">
      <c r="A880" s="302"/>
      <c r="B880" s="302"/>
      <c r="C880" s="302"/>
      <c r="D880" s="302"/>
      <c r="E880" s="302"/>
      <c r="F880" s="302"/>
      <c r="G880" s="302"/>
      <c r="H880" s="302"/>
      <c r="I880" s="302"/>
      <c r="J880" s="302"/>
      <c r="K880" s="302"/>
      <c r="L880" s="302"/>
      <c r="M880" s="302"/>
      <c r="N880" s="302"/>
      <c r="O880" s="302"/>
      <c r="P880" s="302"/>
      <c r="Q880" s="302"/>
      <c r="R880" s="302"/>
      <c r="S880" s="302"/>
      <c r="T880" s="413"/>
      <c r="U880" s="302"/>
      <c r="V880" s="302"/>
      <c r="W880" s="302"/>
      <c r="X880" s="302"/>
      <c r="Y880" s="302"/>
      <c r="Z880" s="302"/>
      <c r="AA880" s="302"/>
    </row>
    <row r="881" spans="1:27" ht="16" x14ac:dyDescent="0.2">
      <c r="A881" s="302"/>
      <c r="B881" s="302"/>
      <c r="C881" s="302"/>
      <c r="D881" s="302"/>
      <c r="E881" s="302"/>
      <c r="F881" s="302"/>
      <c r="G881" s="302"/>
      <c r="H881" s="302"/>
      <c r="I881" s="302"/>
      <c r="J881" s="302"/>
      <c r="K881" s="302"/>
      <c r="L881" s="302"/>
      <c r="M881" s="302"/>
      <c r="N881" s="302"/>
      <c r="O881" s="302"/>
      <c r="P881" s="302"/>
      <c r="Q881" s="302"/>
      <c r="R881" s="302"/>
      <c r="S881" s="302"/>
      <c r="T881" s="413"/>
      <c r="U881" s="302"/>
      <c r="V881" s="302"/>
      <c r="W881" s="302"/>
      <c r="X881" s="302"/>
      <c r="Y881" s="302"/>
      <c r="Z881" s="302"/>
      <c r="AA881" s="302"/>
    </row>
    <row r="882" spans="1:27" ht="16" x14ac:dyDescent="0.2">
      <c r="A882" s="302"/>
      <c r="B882" s="302"/>
      <c r="C882" s="302"/>
      <c r="D882" s="302"/>
      <c r="E882" s="302"/>
      <c r="F882" s="302"/>
      <c r="G882" s="302"/>
      <c r="H882" s="302"/>
      <c r="I882" s="302"/>
      <c r="J882" s="302"/>
      <c r="K882" s="302"/>
      <c r="L882" s="302"/>
      <c r="M882" s="302"/>
      <c r="N882" s="302"/>
      <c r="O882" s="302"/>
      <c r="P882" s="302"/>
      <c r="Q882" s="302"/>
      <c r="R882" s="302"/>
      <c r="S882" s="302"/>
      <c r="T882" s="413"/>
      <c r="U882" s="302"/>
      <c r="V882" s="302"/>
      <c r="W882" s="302"/>
      <c r="X882" s="302"/>
      <c r="Y882" s="302"/>
      <c r="Z882" s="302"/>
      <c r="AA882" s="302"/>
    </row>
    <row r="883" spans="1:27" ht="16" x14ac:dyDescent="0.2">
      <c r="A883" s="302"/>
      <c r="B883" s="302"/>
      <c r="C883" s="302"/>
      <c r="D883" s="302"/>
      <c r="E883" s="302"/>
      <c r="F883" s="302"/>
      <c r="G883" s="302"/>
      <c r="H883" s="302"/>
      <c r="I883" s="302"/>
      <c r="J883" s="302"/>
      <c r="K883" s="302"/>
      <c r="L883" s="302"/>
      <c r="M883" s="302"/>
      <c r="N883" s="302"/>
      <c r="O883" s="302"/>
      <c r="P883" s="302"/>
      <c r="Q883" s="302"/>
      <c r="R883" s="302"/>
      <c r="S883" s="302"/>
      <c r="T883" s="413"/>
      <c r="U883" s="302"/>
      <c r="V883" s="302"/>
      <c r="W883" s="302"/>
      <c r="X883" s="302"/>
      <c r="Y883" s="302"/>
      <c r="Z883" s="302"/>
      <c r="AA883" s="302"/>
    </row>
    <row r="884" spans="1:27" ht="16" x14ac:dyDescent="0.2">
      <c r="A884" s="302"/>
      <c r="B884" s="302"/>
      <c r="C884" s="302"/>
      <c r="D884" s="302"/>
      <c r="E884" s="302"/>
      <c r="F884" s="302"/>
      <c r="G884" s="302"/>
      <c r="H884" s="302"/>
      <c r="I884" s="302"/>
      <c r="J884" s="302"/>
      <c r="K884" s="302"/>
      <c r="L884" s="302"/>
      <c r="M884" s="302"/>
      <c r="N884" s="302"/>
      <c r="O884" s="302"/>
      <c r="P884" s="302"/>
      <c r="Q884" s="302"/>
      <c r="R884" s="302"/>
      <c r="S884" s="302"/>
      <c r="T884" s="413"/>
      <c r="U884" s="302"/>
      <c r="V884" s="302"/>
      <c r="W884" s="302"/>
      <c r="X884" s="302"/>
      <c r="Y884" s="302"/>
      <c r="Z884" s="302"/>
      <c r="AA884" s="302"/>
    </row>
    <row r="885" spans="1:27" ht="16" x14ac:dyDescent="0.2">
      <c r="A885" s="302"/>
      <c r="B885" s="302"/>
      <c r="C885" s="302"/>
      <c r="D885" s="302"/>
      <c r="E885" s="302"/>
      <c r="F885" s="302"/>
      <c r="G885" s="302"/>
      <c r="H885" s="302"/>
      <c r="I885" s="302"/>
      <c r="J885" s="302"/>
      <c r="K885" s="302"/>
      <c r="L885" s="302"/>
      <c r="M885" s="302"/>
      <c r="N885" s="302"/>
      <c r="O885" s="302"/>
      <c r="P885" s="302"/>
      <c r="Q885" s="302"/>
      <c r="R885" s="302"/>
      <c r="S885" s="302"/>
      <c r="T885" s="413"/>
      <c r="U885" s="302"/>
      <c r="V885" s="302"/>
      <c r="W885" s="302"/>
      <c r="X885" s="302"/>
      <c r="Y885" s="302"/>
      <c r="Z885" s="302"/>
      <c r="AA885" s="302"/>
    </row>
    <row r="886" spans="1:27" ht="16" x14ac:dyDescent="0.2">
      <c r="A886" s="302"/>
      <c r="B886" s="302"/>
      <c r="C886" s="302"/>
      <c r="D886" s="302"/>
      <c r="E886" s="302"/>
      <c r="F886" s="302"/>
      <c r="G886" s="302"/>
      <c r="H886" s="302"/>
      <c r="I886" s="302"/>
      <c r="J886" s="302"/>
      <c r="K886" s="302"/>
      <c r="L886" s="302"/>
      <c r="M886" s="302"/>
      <c r="N886" s="302"/>
      <c r="O886" s="302"/>
      <c r="P886" s="302"/>
      <c r="Q886" s="302"/>
      <c r="R886" s="302"/>
      <c r="S886" s="302"/>
      <c r="T886" s="413"/>
      <c r="U886" s="302"/>
      <c r="V886" s="302"/>
      <c r="W886" s="302"/>
      <c r="X886" s="302"/>
      <c r="Y886" s="302"/>
      <c r="Z886" s="302"/>
      <c r="AA886" s="302"/>
    </row>
    <row r="887" spans="1:27" ht="16" x14ac:dyDescent="0.2">
      <c r="A887" s="302"/>
      <c r="B887" s="302"/>
      <c r="C887" s="302"/>
      <c r="D887" s="302"/>
      <c r="E887" s="302"/>
      <c r="F887" s="302"/>
      <c r="G887" s="302"/>
      <c r="H887" s="302"/>
      <c r="I887" s="302"/>
      <c r="J887" s="302"/>
      <c r="K887" s="302"/>
      <c r="L887" s="302"/>
      <c r="M887" s="302"/>
      <c r="N887" s="302"/>
      <c r="O887" s="302"/>
      <c r="P887" s="302"/>
      <c r="Q887" s="302"/>
      <c r="R887" s="302"/>
      <c r="S887" s="302"/>
      <c r="T887" s="413"/>
      <c r="U887" s="302"/>
      <c r="V887" s="302"/>
      <c r="W887" s="302"/>
      <c r="X887" s="302"/>
      <c r="Y887" s="302"/>
      <c r="Z887" s="302"/>
      <c r="AA887" s="302"/>
    </row>
    <row r="888" spans="1:27" ht="16" x14ac:dyDescent="0.2">
      <c r="A888" s="302"/>
      <c r="B888" s="302"/>
      <c r="C888" s="302"/>
      <c r="D888" s="302"/>
      <c r="E888" s="302"/>
      <c r="F888" s="302"/>
      <c r="G888" s="302"/>
      <c r="H888" s="302"/>
      <c r="I888" s="302"/>
      <c r="J888" s="302"/>
      <c r="K888" s="302"/>
      <c r="L888" s="302"/>
      <c r="M888" s="302"/>
      <c r="N888" s="302"/>
      <c r="O888" s="302"/>
      <c r="P888" s="302"/>
      <c r="Q888" s="302"/>
      <c r="R888" s="302"/>
      <c r="S888" s="302"/>
      <c r="T888" s="413"/>
      <c r="U888" s="302"/>
      <c r="V888" s="302"/>
      <c r="W888" s="302"/>
      <c r="X888" s="302"/>
      <c r="Y888" s="302"/>
      <c r="Z888" s="302"/>
      <c r="AA888" s="302"/>
    </row>
    <row r="889" spans="1:27" ht="16" x14ac:dyDescent="0.2">
      <c r="A889" s="302"/>
      <c r="B889" s="302"/>
      <c r="C889" s="302"/>
      <c r="D889" s="302"/>
      <c r="E889" s="302"/>
      <c r="F889" s="302"/>
      <c r="G889" s="302"/>
      <c r="H889" s="302"/>
      <c r="I889" s="302"/>
      <c r="J889" s="302"/>
      <c r="K889" s="302"/>
      <c r="L889" s="302"/>
      <c r="M889" s="302"/>
      <c r="N889" s="302"/>
      <c r="O889" s="302"/>
      <c r="P889" s="302"/>
      <c r="Q889" s="302"/>
      <c r="R889" s="302"/>
      <c r="S889" s="302"/>
      <c r="T889" s="413"/>
      <c r="U889" s="302"/>
      <c r="V889" s="302"/>
      <c r="W889" s="302"/>
      <c r="X889" s="302"/>
      <c r="Y889" s="302"/>
      <c r="Z889" s="302"/>
      <c r="AA889" s="302"/>
    </row>
    <row r="890" spans="1:27" ht="16" x14ac:dyDescent="0.2">
      <c r="A890" s="302"/>
      <c r="B890" s="302"/>
      <c r="C890" s="302"/>
      <c r="D890" s="302"/>
      <c r="E890" s="302"/>
      <c r="F890" s="302"/>
      <c r="G890" s="302"/>
      <c r="H890" s="302"/>
      <c r="I890" s="302"/>
      <c r="J890" s="302"/>
      <c r="K890" s="302"/>
      <c r="L890" s="302"/>
      <c r="M890" s="302"/>
      <c r="N890" s="302"/>
      <c r="O890" s="302"/>
      <c r="P890" s="302"/>
      <c r="Q890" s="302"/>
      <c r="R890" s="302"/>
      <c r="S890" s="302"/>
      <c r="T890" s="413"/>
      <c r="U890" s="302"/>
      <c r="V890" s="302"/>
      <c r="W890" s="302"/>
      <c r="X890" s="302"/>
      <c r="Y890" s="302"/>
      <c r="Z890" s="302"/>
      <c r="AA890" s="302"/>
    </row>
    <row r="891" spans="1:27" ht="16" x14ac:dyDescent="0.2">
      <c r="A891" s="302"/>
      <c r="B891" s="302"/>
      <c r="C891" s="302"/>
      <c r="D891" s="302"/>
      <c r="E891" s="302"/>
      <c r="F891" s="302"/>
      <c r="G891" s="302"/>
      <c r="H891" s="302"/>
      <c r="I891" s="302"/>
      <c r="J891" s="302"/>
      <c r="K891" s="302"/>
      <c r="L891" s="302"/>
      <c r="M891" s="302"/>
      <c r="N891" s="302"/>
      <c r="O891" s="302"/>
      <c r="P891" s="302"/>
      <c r="Q891" s="302"/>
      <c r="R891" s="302"/>
      <c r="S891" s="302"/>
      <c r="T891" s="413"/>
      <c r="U891" s="302"/>
      <c r="V891" s="302"/>
      <c r="W891" s="302"/>
      <c r="X891" s="302"/>
      <c r="Y891" s="302"/>
      <c r="Z891" s="302"/>
      <c r="AA891" s="302"/>
    </row>
    <row r="892" spans="1:27" ht="16" x14ac:dyDescent="0.2">
      <c r="A892" s="302"/>
      <c r="B892" s="302"/>
      <c r="C892" s="302"/>
      <c r="D892" s="302"/>
      <c r="E892" s="302"/>
      <c r="F892" s="302"/>
      <c r="G892" s="302"/>
      <c r="H892" s="302"/>
      <c r="I892" s="302"/>
      <c r="J892" s="302"/>
      <c r="K892" s="302"/>
      <c r="L892" s="302"/>
      <c r="M892" s="302"/>
      <c r="N892" s="302"/>
      <c r="O892" s="302"/>
      <c r="P892" s="302"/>
      <c r="Q892" s="302"/>
      <c r="R892" s="302"/>
      <c r="S892" s="302"/>
      <c r="T892" s="413"/>
      <c r="U892" s="302"/>
      <c r="V892" s="302"/>
      <c r="W892" s="302"/>
      <c r="X892" s="302"/>
      <c r="Y892" s="302"/>
      <c r="Z892" s="302"/>
      <c r="AA892" s="302"/>
    </row>
    <row r="893" spans="1:27" ht="16" x14ac:dyDescent="0.2">
      <c r="A893" s="302"/>
      <c r="B893" s="302"/>
      <c r="C893" s="302"/>
      <c r="D893" s="302"/>
      <c r="E893" s="302"/>
      <c r="F893" s="302"/>
      <c r="G893" s="302"/>
      <c r="H893" s="302"/>
      <c r="I893" s="302"/>
      <c r="J893" s="302"/>
      <c r="K893" s="302"/>
      <c r="L893" s="302"/>
      <c r="M893" s="302"/>
      <c r="N893" s="302"/>
      <c r="O893" s="302"/>
      <c r="P893" s="302"/>
      <c r="Q893" s="302"/>
      <c r="R893" s="302"/>
      <c r="S893" s="302"/>
      <c r="T893" s="413"/>
      <c r="U893" s="302"/>
      <c r="V893" s="302"/>
      <c r="W893" s="302"/>
      <c r="X893" s="302"/>
      <c r="Y893" s="302"/>
      <c r="Z893" s="302"/>
      <c r="AA893" s="302"/>
    </row>
    <row r="894" spans="1:27" ht="16" x14ac:dyDescent="0.2">
      <c r="A894" s="302"/>
      <c r="B894" s="302"/>
      <c r="C894" s="302"/>
      <c r="D894" s="302"/>
      <c r="E894" s="302"/>
      <c r="F894" s="302"/>
      <c r="G894" s="302"/>
      <c r="H894" s="302"/>
      <c r="I894" s="302"/>
      <c r="J894" s="302"/>
      <c r="K894" s="302"/>
      <c r="L894" s="302"/>
      <c r="M894" s="302"/>
      <c r="N894" s="302"/>
      <c r="O894" s="302"/>
      <c r="P894" s="302"/>
      <c r="Q894" s="302"/>
      <c r="R894" s="302"/>
      <c r="S894" s="302"/>
      <c r="T894" s="413"/>
      <c r="U894" s="302"/>
      <c r="V894" s="302"/>
      <c r="W894" s="302"/>
      <c r="X894" s="302"/>
      <c r="Y894" s="302"/>
      <c r="Z894" s="302"/>
      <c r="AA894" s="302"/>
    </row>
    <row r="895" spans="1:27" ht="16" x14ac:dyDescent="0.2">
      <c r="A895" s="302"/>
      <c r="B895" s="302"/>
      <c r="C895" s="302"/>
      <c r="D895" s="302"/>
      <c r="E895" s="302"/>
      <c r="F895" s="302"/>
      <c r="G895" s="302"/>
      <c r="H895" s="302"/>
      <c r="I895" s="302"/>
      <c r="J895" s="302"/>
      <c r="K895" s="302"/>
      <c r="L895" s="302"/>
      <c r="M895" s="302"/>
      <c r="N895" s="302"/>
      <c r="O895" s="302"/>
      <c r="P895" s="302"/>
      <c r="Q895" s="302"/>
      <c r="R895" s="302"/>
      <c r="S895" s="302"/>
      <c r="T895" s="413"/>
      <c r="U895" s="302"/>
      <c r="V895" s="302"/>
      <c r="W895" s="302"/>
      <c r="X895" s="302"/>
      <c r="Y895" s="302"/>
      <c r="Z895" s="302"/>
      <c r="AA895" s="302"/>
    </row>
    <row r="896" spans="1:27" ht="16" x14ac:dyDescent="0.2">
      <c r="A896" s="302"/>
      <c r="B896" s="302"/>
      <c r="C896" s="302"/>
      <c r="D896" s="302"/>
      <c r="E896" s="302"/>
      <c r="F896" s="302"/>
      <c r="G896" s="302"/>
      <c r="H896" s="302"/>
      <c r="I896" s="302"/>
      <c r="J896" s="302"/>
      <c r="K896" s="302"/>
      <c r="L896" s="302"/>
      <c r="M896" s="302"/>
      <c r="N896" s="302"/>
      <c r="O896" s="302"/>
      <c r="P896" s="302"/>
      <c r="Q896" s="302"/>
      <c r="R896" s="302"/>
      <c r="S896" s="302"/>
      <c r="T896" s="413"/>
      <c r="U896" s="302"/>
      <c r="V896" s="302"/>
      <c r="W896" s="302"/>
      <c r="X896" s="302"/>
      <c r="Y896" s="302"/>
      <c r="Z896" s="302"/>
      <c r="AA896" s="302"/>
    </row>
    <row r="897" spans="1:27" ht="16" x14ac:dyDescent="0.2">
      <c r="A897" s="302"/>
      <c r="B897" s="302"/>
      <c r="C897" s="302"/>
      <c r="D897" s="302"/>
      <c r="E897" s="302"/>
      <c r="F897" s="302"/>
      <c r="G897" s="302"/>
      <c r="H897" s="302"/>
      <c r="I897" s="302"/>
      <c r="J897" s="302"/>
      <c r="K897" s="302"/>
      <c r="L897" s="302"/>
      <c r="M897" s="302"/>
      <c r="N897" s="302"/>
      <c r="O897" s="302"/>
      <c r="P897" s="302"/>
      <c r="Q897" s="302"/>
      <c r="R897" s="302"/>
      <c r="S897" s="302"/>
      <c r="T897" s="413"/>
      <c r="U897" s="302"/>
      <c r="V897" s="302"/>
      <c r="W897" s="302"/>
      <c r="X897" s="302"/>
      <c r="Y897" s="302"/>
      <c r="Z897" s="302"/>
      <c r="AA897" s="302"/>
    </row>
    <row r="898" spans="1:27" ht="16" x14ac:dyDescent="0.2">
      <c r="A898" s="302"/>
      <c r="B898" s="302"/>
      <c r="C898" s="302"/>
      <c r="D898" s="302"/>
      <c r="E898" s="302"/>
      <c r="F898" s="302"/>
      <c r="G898" s="302"/>
      <c r="H898" s="302"/>
      <c r="I898" s="302"/>
      <c r="J898" s="302"/>
      <c r="K898" s="302"/>
      <c r="L898" s="302"/>
      <c r="M898" s="302"/>
      <c r="N898" s="302"/>
      <c r="O898" s="302"/>
      <c r="P898" s="302"/>
      <c r="Q898" s="302"/>
      <c r="R898" s="302"/>
      <c r="S898" s="302"/>
      <c r="T898" s="413"/>
      <c r="U898" s="302"/>
      <c r="V898" s="302"/>
      <c r="W898" s="302"/>
      <c r="X898" s="302"/>
      <c r="Y898" s="302"/>
      <c r="Z898" s="302"/>
      <c r="AA898" s="302"/>
    </row>
    <row r="899" spans="1:27" ht="16" x14ac:dyDescent="0.2">
      <c r="A899" s="302"/>
      <c r="B899" s="302"/>
      <c r="C899" s="302"/>
      <c r="D899" s="302"/>
      <c r="E899" s="302"/>
      <c r="F899" s="302"/>
      <c r="G899" s="302"/>
      <c r="H899" s="302"/>
      <c r="I899" s="302"/>
      <c r="J899" s="302"/>
      <c r="K899" s="302"/>
      <c r="L899" s="302"/>
      <c r="M899" s="302"/>
      <c r="N899" s="302"/>
      <c r="O899" s="302"/>
      <c r="P899" s="302"/>
      <c r="Q899" s="302"/>
      <c r="R899" s="302"/>
      <c r="S899" s="302"/>
      <c r="T899" s="413"/>
      <c r="U899" s="302"/>
      <c r="V899" s="302"/>
      <c r="W899" s="302"/>
      <c r="X899" s="302"/>
      <c r="Y899" s="302"/>
      <c r="Z899" s="302"/>
      <c r="AA899" s="302"/>
    </row>
    <row r="900" spans="1:27" ht="16" x14ac:dyDescent="0.2">
      <c r="A900" s="302"/>
      <c r="B900" s="302"/>
      <c r="C900" s="302"/>
      <c r="D900" s="302"/>
      <c r="E900" s="302"/>
      <c r="F900" s="302"/>
      <c r="G900" s="302"/>
      <c r="H900" s="302"/>
      <c r="I900" s="302"/>
      <c r="J900" s="302"/>
      <c r="K900" s="302"/>
      <c r="L900" s="302"/>
      <c r="M900" s="302"/>
      <c r="N900" s="302"/>
      <c r="O900" s="302"/>
      <c r="P900" s="302"/>
      <c r="Q900" s="302"/>
      <c r="R900" s="302"/>
      <c r="S900" s="302"/>
      <c r="T900" s="413"/>
      <c r="U900" s="302"/>
      <c r="V900" s="302"/>
      <c r="W900" s="302"/>
      <c r="X900" s="302"/>
      <c r="Y900" s="302"/>
      <c r="Z900" s="302"/>
      <c r="AA900" s="302"/>
    </row>
    <row r="901" spans="1:27" ht="16" x14ac:dyDescent="0.2">
      <c r="A901" s="302"/>
      <c r="B901" s="302"/>
      <c r="C901" s="302"/>
      <c r="D901" s="302"/>
      <c r="E901" s="302"/>
      <c r="F901" s="302"/>
      <c r="G901" s="302"/>
      <c r="H901" s="302"/>
      <c r="I901" s="302"/>
      <c r="J901" s="302"/>
      <c r="K901" s="302"/>
      <c r="L901" s="302"/>
      <c r="M901" s="302"/>
      <c r="N901" s="302"/>
      <c r="O901" s="302"/>
      <c r="P901" s="302"/>
      <c r="Q901" s="302"/>
      <c r="R901" s="302"/>
      <c r="S901" s="302"/>
      <c r="T901" s="413"/>
      <c r="U901" s="302"/>
      <c r="V901" s="302"/>
      <c r="W901" s="302"/>
      <c r="X901" s="302"/>
      <c r="Y901" s="302"/>
      <c r="Z901" s="302"/>
      <c r="AA901" s="302"/>
    </row>
    <row r="902" spans="1:27" ht="16" x14ac:dyDescent="0.2">
      <c r="A902" s="302"/>
      <c r="B902" s="302"/>
      <c r="C902" s="302"/>
      <c r="D902" s="302"/>
      <c r="E902" s="302"/>
      <c r="F902" s="302"/>
      <c r="G902" s="302"/>
      <c r="H902" s="302"/>
      <c r="I902" s="302"/>
      <c r="J902" s="302"/>
      <c r="K902" s="302"/>
      <c r="L902" s="302"/>
      <c r="M902" s="302"/>
      <c r="N902" s="302"/>
      <c r="O902" s="302"/>
      <c r="P902" s="302"/>
      <c r="Q902" s="302"/>
      <c r="R902" s="302"/>
      <c r="S902" s="302"/>
      <c r="T902" s="413"/>
      <c r="U902" s="302"/>
      <c r="V902" s="302"/>
      <c r="W902" s="302"/>
      <c r="X902" s="302"/>
      <c r="Y902" s="302"/>
      <c r="Z902" s="302"/>
      <c r="AA902" s="302"/>
    </row>
    <row r="903" spans="1:27" ht="16" x14ac:dyDescent="0.2">
      <c r="A903" s="302"/>
      <c r="B903" s="302"/>
      <c r="C903" s="302"/>
      <c r="D903" s="302"/>
      <c r="E903" s="302"/>
      <c r="F903" s="302"/>
      <c r="G903" s="302"/>
      <c r="H903" s="302"/>
      <c r="I903" s="302"/>
      <c r="J903" s="302"/>
      <c r="K903" s="302"/>
      <c r="L903" s="302"/>
      <c r="M903" s="302"/>
      <c r="N903" s="302"/>
      <c r="O903" s="302"/>
      <c r="P903" s="302"/>
      <c r="Q903" s="302"/>
      <c r="R903" s="302"/>
      <c r="S903" s="302"/>
      <c r="T903" s="413"/>
      <c r="U903" s="302"/>
      <c r="V903" s="302"/>
      <c r="W903" s="302"/>
      <c r="X903" s="302"/>
      <c r="Y903" s="302"/>
      <c r="Z903" s="302"/>
      <c r="AA903" s="302"/>
    </row>
    <row r="904" spans="1:27" ht="16" x14ac:dyDescent="0.2">
      <c r="A904" s="302"/>
      <c r="B904" s="302"/>
      <c r="C904" s="302"/>
      <c r="D904" s="302"/>
      <c r="E904" s="302"/>
      <c r="F904" s="302"/>
      <c r="G904" s="302"/>
      <c r="H904" s="302"/>
      <c r="I904" s="302"/>
      <c r="J904" s="302"/>
      <c r="K904" s="302"/>
      <c r="L904" s="302"/>
      <c r="M904" s="302"/>
      <c r="N904" s="302"/>
      <c r="O904" s="302"/>
      <c r="P904" s="302"/>
      <c r="Q904" s="302"/>
      <c r="R904" s="302"/>
      <c r="S904" s="302"/>
      <c r="T904" s="413"/>
      <c r="U904" s="302"/>
      <c r="V904" s="302"/>
      <c r="W904" s="302"/>
      <c r="X904" s="302"/>
      <c r="Y904" s="302"/>
      <c r="Z904" s="302"/>
      <c r="AA904" s="302"/>
    </row>
    <row r="905" spans="1:27" ht="16" x14ac:dyDescent="0.2">
      <c r="A905" s="302"/>
      <c r="B905" s="302"/>
      <c r="C905" s="302"/>
      <c r="D905" s="302"/>
      <c r="E905" s="302"/>
      <c r="F905" s="302"/>
      <c r="G905" s="302"/>
      <c r="H905" s="302"/>
      <c r="I905" s="302"/>
      <c r="J905" s="302"/>
      <c r="K905" s="302"/>
      <c r="L905" s="302"/>
      <c r="M905" s="302"/>
      <c r="N905" s="302"/>
      <c r="O905" s="302"/>
      <c r="P905" s="302"/>
      <c r="Q905" s="302"/>
      <c r="R905" s="302"/>
      <c r="S905" s="302"/>
      <c r="T905" s="413"/>
      <c r="U905" s="302"/>
      <c r="V905" s="302"/>
      <c r="W905" s="302"/>
      <c r="X905" s="302"/>
      <c r="Y905" s="302"/>
      <c r="Z905" s="302"/>
      <c r="AA905" s="302"/>
    </row>
    <row r="906" spans="1:27" ht="16" x14ac:dyDescent="0.2">
      <c r="A906" s="302"/>
      <c r="B906" s="302"/>
      <c r="C906" s="302"/>
      <c r="D906" s="302"/>
      <c r="E906" s="302"/>
      <c r="F906" s="302"/>
      <c r="G906" s="302"/>
      <c r="H906" s="302"/>
      <c r="I906" s="302"/>
      <c r="J906" s="302"/>
      <c r="K906" s="302"/>
      <c r="L906" s="302"/>
      <c r="M906" s="302"/>
      <c r="N906" s="302"/>
      <c r="O906" s="302"/>
      <c r="P906" s="302"/>
      <c r="Q906" s="302"/>
      <c r="R906" s="302"/>
      <c r="S906" s="302"/>
      <c r="T906" s="413"/>
      <c r="U906" s="302"/>
      <c r="V906" s="302"/>
      <c r="W906" s="302"/>
      <c r="X906" s="302"/>
      <c r="Y906" s="302"/>
      <c r="Z906" s="302"/>
      <c r="AA906" s="302"/>
    </row>
    <row r="907" spans="1:27" ht="16" x14ac:dyDescent="0.2">
      <c r="A907" s="302"/>
      <c r="B907" s="302"/>
      <c r="C907" s="302"/>
      <c r="D907" s="302"/>
      <c r="E907" s="302"/>
      <c r="F907" s="302"/>
      <c r="G907" s="302"/>
      <c r="H907" s="302"/>
      <c r="I907" s="302"/>
      <c r="J907" s="302"/>
      <c r="K907" s="302"/>
      <c r="L907" s="302"/>
      <c r="M907" s="302"/>
      <c r="N907" s="302"/>
      <c r="O907" s="302"/>
      <c r="P907" s="302"/>
      <c r="Q907" s="302"/>
      <c r="R907" s="302"/>
      <c r="S907" s="302"/>
      <c r="T907" s="413"/>
      <c r="U907" s="302"/>
      <c r="V907" s="302"/>
      <c r="W907" s="302"/>
      <c r="X907" s="302"/>
      <c r="Y907" s="302"/>
      <c r="Z907" s="302"/>
      <c r="AA907" s="302"/>
    </row>
    <row r="908" spans="1:27" ht="16" x14ac:dyDescent="0.2">
      <c r="A908" s="302"/>
      <c r="B908" s="302"/>
      <c r="C908" s="302"/>
      <c r="D908" s="302"/>
      <c r="E908" s="302"/>
      <c r="F908" s="302"/>
      <c r="G908" s="302"/>
      <c r="H908" s="302"/>
      <c r="I908" s="302"/>
      <c r="J908" s="302"/>
      <c r="K908" s="302"/>
      <c r="L908" s="302"/>
      <c r="M908" s="302"/>
      <c r="N908" s="302"/>
      <c r="O908" s="302"/>
      <c r="P908" s="302"/>
      <c r="Q908" s="302"/>
      <c r="R908" s="302"/>
      <c r="S908" s="302"/>
      <c r="T908" s="413"/>
      <c r="U908" s="302"/>
      <c r="V908" s="302"/>
      <c r="W908" s="302"/>
      <c r="X908" s="302"/>
      <c r="Y908" s="302"/>
      <c r="Z908" s="302"/>
      <c r="AA908" s="302"/>
    </row>
    <row r="909" spans="1:27" ht="16" x14ac:dyDescent="0.2">
      <c r="A909" s="302"/>
      <c r="B909" s="302"/>
      <c r="C909" s="302"/>
      <c r="D909" s="302"/>
      <c r="E909" s="302"/>
      <c r="F909" s="302"/>
      <c r="G909" s="302"/>
      <c r="H909" s="302"/>
      <c r="I909" s="302"/>
      <c r="J909" s="302"/>
      <c r="K909" s="302"/>
      <c r="L909" s="302"/>
      <c r="M909" s="302"/>
      <c r="N909" s="302"/>
      <c r="O909" s="302"/>
      <c r="P909" s="302"/>
      <c r="Q909" s="302"/>
      <c r="R909" s="302"/>
      <c r="S909" s="302"/>
      <c r="T909" s="413"/>
      <c r="U909" s="302"/>
      <c r="V909" s="302"/>
      <c r="W909" s="302"/>
      <c r="X909" s="302"/>
      <c r="Y909" s="302"/>
      <c r="Z909" s="302"/>
      <c r="AA909" s="302"/>
    </row>
    <row r="910" spans="1:27" ht="16" x14ac:dyDescent="0.2">
      <c r="A910" s="302"/>
      <c r="B910" s="302"/>
      <c r="C910" s="302"/>
      <c r="D910" s="302"/>
      <c r="E910" s="302"/>
      <c r="F910" s="302"/>
      <c r="G910" s="302"/>
      <c r="H910" s="302"/>
      <c r="I910" s="302"/>
      <c r="J910" s="302"/>
      <c r="K910" s="302"/>
      <c r="L910" s="302"/>
      <c r="M910" s="302"/>
      <c r="N910" s="302"/>
      <c r="O910" s="302"/>
      <c r="P910" s="302"/>
      <c r="Q910" s="302"/>
      <c r="R910" s="302"/>
      <c r="S910" s="302"/>
      <c r="T910" s="413"/>
      <c r="U910" s="302"/>
      <c r="V910" s="302"/>
      <c r="W910" s="302"/>
      <c r="X910" s="302"/>
      <c r="Y910" s="302"/>
      <c r="Z910" s="302"/>
      <c r="AA910" s="302"/>
    </row>
    <row r="911" spans="1:27" ht="16" x14ac:dyDescent="0.2">
      <c r="A911" s="302"/>
      <c r="B911" s="302"/>
      <c r="C911" s="302"/>
      <c r="D911" s="302"/>
      <c r="E911" s="302"/>
      <c r="F911" s="302"/>
      <c r="G911" s="302"/>
      <c r="H911" s="302"/>
      <c r="I911" s="302"/>
      <c r="J911" s="302"/>
      <c r="K911" s="302"/>
      <c r="L911" s="302"/>
      <c r="M911" s="302"/>
      <c r="N911" s="302"/>
      <c r="O911" s="302"/>
      <c r="P911" s="302"/>
      <c r="Q911" s="302"/>
      <c r="R911" s="302"/>
      <c r="S911" s="302"/>
      <c r="T911" s="413"/>
      <c r="U911" s="302"/>
      <c r="V911" s="302"/>
      <c r="W911" s="302"/>
      <c r="X911" s="302"/>
      <c r="Y911" s="302"/>
      <c r="Z911" s="302"/>
      <c r="AA911" s="302"/>
    </row>
    <row r="912" spans="1:27" ht="16" x14ac:dyDescent="0.2">
      <c r="A912" s="302"/>
      <c r="B912" s="302"/>
      <c r="C912" s="302"/>
      <c r="D912" s="302"/>
      <c r="E912" s="302"/>
      <c r="F912" s="302"/>
      <c r="G912" s="302"/>
      <c r="H912" s="302"/>
      <c r="I912" s="302"/>
      <c r="J912" s="302"/>
      <c r="K912" s="302"/>
      <c r="L912" s="302"/>
      <c r="M912" s="302"/>
      <c r="N912" s="302"/>
      <c r="O912" s="302"/>
      <c r="P912" s="302"/>
      <c r="Q912" s="302"/>
      <c r="R912" s="302"/>
      <c r="S912" s="302"/>
      <c r="T912" s="413"/>
      <c r="U912" s="302"/>
      <c r="V912" s="302"/>
      <c r="W912" s="302"/>
      <c r="X912" s="302"/>
      <c r="Y912" s="302"/>
      <c r="Z912" s="302"/>
      <c r="AA912" s="302"/>
    </row>
    <row r="913" spans="1:27" ht="16" x14ac:dyDescent="0.2">
      <c r="A913" s="302"/>
      <c r="B913" s="302"/>
      <c r="C913" s="302"/>
      <c r="D913" s="302"/>
      <c r="E913" s="302"/>
      <c r="F913" s="302"/>
      <c r="G913" s="302"/>
      <c r="H913" s="302"/>
      <c r="I913" s="302"/>
      <c r="J913" s="302"/>
      <c r="K913" s="302"/>
      <c r="L913" s="302"/>
      <c r="M913" s="302"/>
      <c r="N913" s="302"/>
      <c r="O913" s="302"/>
      <c r="P913" s="302"/>
      <c r="Q913" s="302"/>
      <c r="R913" s="302"/>
      <c r="S913" s="302"/>
      <c r="T913" s="413"/>
      <c r="U913" s="302"/>
      <c r="V913" s="302"/>
      <c r="W913" s="302"/>
      <c r="X913" s="302"/>
      <c r="Y913" s="302"/>
      <c r="Z913" s="302"/>
      <c r="AA913" s="302"/>
    </row>
    <row r="914" spans="1:27" ht="16" x14ac:dyDescent="0.2">
      <c r="A914" s="302"/>
      <c r="B914" s="302"/>
      <c r="C914" s="302"/>
      <c r="D914" s="302"/>
      <c r="E914" s="302"/>
      <c r="F914" s="302"/>
      <c r="G914" s="302"/>
      <c r="H914" s="302"/>
      <c r="I914" s="302"/>
      <c r="J914" s="302"/>
      <c r="K914" s="302"/>
      <c r="L914" s="302"/>
      <c r="M914" s="302"/>
      <c r="N914" s="302"/>
      <c r="O914" s="302"/>
      <c r="P914" s="302"/>
      <c r="Q914" s="302"/>
      <c r="R914" s="302"/>
      <c r="S914" s="302"/>
      <c r="T914" s="413"/>
      <c r="U914" s="302"/>
      <c r="V914" s="302"/>
      <c r="W914" s="302"/>
      <c r="X914" s="302"/>
      <c r="Y914" s="302"/>
      <c r="Z914" s="302"/>
      <c r="AA914" s="302"/>
    </row>
    <row r="915" spans="1:27" ht="16" x14ac:dyDescent="0.2">
      <c r="A915" s="302"/>
      <c r="B915" s="302"/>
      <c r="C915" s="302"/>
      <c r="D915" s="302"/>
      <c r="E915" s="302"/>
      <c r="F915" s="302"/>
      <c r="G915" s="302"/>
      <c r="H915" s="302"/>
      <c r="I915" s="302"/>
      <c r="J915" s="302"/>
      <c r="K915" s="302"/>
      <c r="L915" s="302"/>
      <c r="M915" s="302"/>
      <c r="N915" s="302"/>
      <c r="O915" s="302"/>
      <c r="P915" s="302"/>
      <c r="Q915" s="302"/>
      <c r="R915" s="302"/>
      <c r="S915" s="302"/>
      <c r="T915" s="413"/>
      <c r="U915" s="302"/>
      <c r="V915" s="302"/>
      <c r="W915" s="302"/>
      <c r="X915" s="302"/>
      <c r="Y915" s="302"/>
      <c r="Z915" s="302"/>
      <c r="AA915" s="302"/>
    </row>
    <row r="916" spans="1:27" ht="16" x14ac:dyDescent="0.2">
      <c r="A916" s="302"/>
      <c r="B916" s="302"/>
      <c r="C916" s="302"/>
      <c r="D916" s="302"/>
      <c r="E916" s="302"/>
      <c r="F916" s="302"/>
      <c r="G916" s="302"/>
      <c r="H916" s="302"/>
      <c r="I916" s="302"/>
      <c r="J916" s="302"/>
      <c r="K916" s="302"/>
      <c r="L916" s="302"/>
      <c r="M916" s="302"/>
      <c r="N916" s="302"/>
      <c r="O916" s="302"/>
      <c r="P916" s="302"/>
      <c r="Q916" s="302"/>
      <c r="R916" s="302"/>
      <c r="S916" s="302"/>
      <c r="T916" s="413"/>
      <c r="U916" s="302"/>
      <c r="V916" s="302"/>
      <c r="W916" s="302"/>
      <c r="X916" s="302"/>
      <c r="Y916" s="302"/>
      <c r="Z916" s="302"/>
      <c r="AA916" s="302"/>
    </row>
    <row r="917" spans="1:27" ht="16" x14ac:dyDescent="0.2">
      <c r="A917" s="302"/>
      <c r="B917" s="302"/>
      <c r="C917" s="302"/>
      <c r="D917" s="302"/>
      <c r="E917" s="302"/>
      <c r="F917" s="302"/>
      <c r="G917" s="302"/>
      <c r="H917" s="302"/>
      <c r="I917" s="302"/>
      <c r="J917" s="302"/>
      <c r="K917" s="302"/>
      <c r="L917" s="302"/>
      <c r="M917" s="302"/>
      <c r="N917" s="302"/>
      <c r="O917" s="302"/>
      <c r="P917" s="302"/>
      <c r="Q917" s="302"/>
      <c r="R917" s="302"/>
      <c r="S917" s="302"/>
      <c r="T917" s="413"/>
      <c r="U917" s="302"/>
      <c r="V917" s="302"/>
      <c r="W917" s="302"/>
      <c r="X917" s="302"/>
      <c r="Y917" s="302"/>
      <c r="Z917" s="302"/>
      <c r="AA917" s="302"/>
    </row>
    <row r="918" spans="1:27" ht="16" x14ac:dyDescent="0.2">
      <c r="A918" s="302"/>
      <c r="B918" s="302"/>
      <c r="C918" s="302"/>
      <c r="D918" s="302"/>
      <c r="E918" s="302"/>
      <c r="F918" s="302"/>
      <c r="G918" s="302"/>
      <c r="H918" s="302"/>
      <c r="I918" s="302"/>
      <c r="J918" s="302"/>
      <c r="K918" s="302"/>
      <c r="L918" s="302"/>
      <c r="M918" s="302"/>
      <c r="N918" s="302"/>
      <c r="O918" s="302"/>
      <c r="P918" s="302"/>
      <c r="Q918" s="302"/>
      <c r="R918" s="302"/>
      <c r="S918" s="302"/>
      <c r="T918" s="413"/>
      <c r="U918" s="302"/>
      <c r="V918" s="302"/>
      <c r="W918" s="302"/>
      <c r="X918" s="302"/>
      <c r="Y918" s="302"/>
      <c r="Z918" s="302"/>
      <c r="AA918" s="302"/>
    </row>
    <row r="919" spans="1:27" ht="16" x14ac:dyDescent="0.2">
      <c r="A919" s="302"/>
      <c r="B919" s="302"/>
      <c r="C919" s="302"/>
      <c r="D919" s="302"/>
      <c r="E919" s="302"/>
      <c r="F919" s="302"/>
      <c r="G919" s="302"/>
      <c r="H919" s="302"/>
      <c r="I919" s="302"/>
      <c r="J919" s="302"/>
      <c r="K919" s="302"/>
      <c r="L919" s="302"/>
      <c r="M919" s="302"/>
      <c r="N919" s="302"/>
      <c r="O919" s="302"/>
      <c r="P919" s="302"/>
      <c r="Q919" s="302"/>
      <c r="R919" s="302"/>
      <c r="S919" s="302"/>
      <c r="T919" s="413"/>
      <c r="U919" s="302"/>
      <c r="V919" s="302"/>
      <c r="W919" s="302"/>
      <c r="X919" s="302"/>
      <c r="Y919" s="302"/>
      <c r="Z919" s="302"/>
      <c r="AA919" s="302"/>
    </row>
    <row r="920" spans="1:27" ht="16" x14ac:dyDescent="0.2">
      <c r="A920" s="302"/>
      <c r="B920" s="302"/>
      <c r="C920" s="302"/>
      <c r="D920" s="302"/>
      <c r="E920" s="302"/>
      <c r="F920" s="302"/>
      <c r="G920" s="302"/>
      <c r="H920" s="302"/>
      <c r="I920" s="302"/>
      <c r="J920" s="302"/>
      <c r="K920" s="302"/>
      <c r="L920" s="302"/>
      <c r="M920" s="302"/>
      <c r="N920" s="302"/>
      <c r="O920" s="302"/>
      <c r="P920" s="302"/>
      <c r="Q920" s="302"/>
      <c r="R920" s="302"/>
      <c r="S920" s="302"/>
      <c r="T920" s="413"/>
      <c r="U920" s="302"/>
      <c r="V920" s="302"/>
      <c r="W920" s="302"/>
      <c r="X920" s="302"/>
      <c r="Y920" s="302"/>
      <c r="Z920" s="302"/>
      <c r="AA920" s="302"/>
    </row>
    <row r="921" spans="1:27" ht="16" x14ac:dyDescent="0.2">
      <c r="A921" s="302"/>
      <c r="B921" s="302"/>
      <c r="C921" s="302"/>
      <c r="D921" s="302"/>
      <c r="E921" s="302"/>
      <c r="F921" s="302"/>
      <c r="G921" s="302"/>
      <c r="H921" s="302"/>
      <c r="I921" s="302"/>
      <c r="J921" s="302"/>
      <c r="K921" s="302"/>
      <c r="L921" s="302"/>
      <c r="M921" s="302"/>
      <c r="N921" s="302"/>
      <c r="O921" s="302"/>
      <c r="P921" s="302"/>
      <c r="Q921" s="302"/>
      <c r="R921" s="302"/>
      <c r="S921" s="302"/>
      <c r="T921" s="413"/>
      <c r="U921" s="302"/>
      <c r="V921" s="302"/>
      <c r="W921" s="302"/>
      <c r="X921" s="302"/>
      <c r="Y921" s="302"/>
      <c r="Z921" s="302"/>
      <c r="AA921" s="302"/>
    </row>
    <row r="922" spans="1:27" ht="16" x14ac:dyDescent="0.2">
      <c r="A922" s="302"/>
      <c r="B922" s="302"/>
      <c r="C922" s="302"/>
      <c r="D922" s="302"/>
      <c r="E922" s="302"/>
      <c r="F922" s="302"/>
      <c r="G922" s="302"/>
      <c r="H922" s="302"/>
      <c r="I922" s="302"/>
      <c r="J922" s="302"/>
      <c r="K922" s="302"/>
      <c r="L922" s="302"/>
      <c r="M922" s="302"/>
      <c r="N922" s="302"/>
      <c r="O922" s="302"/>
      <c r="P922" s="302"/>
      <c r="Q922" s="302"/>
      <c r="R922" s="302"/>
      <c r="S922" s="302"/>
      <c r="T922" s="413"/>
      <c r="U922" s="302"/>
      <c r="V922" s="302"/>
      <c r="W922" s="302"/>
      <c r="X922" s="302"/>
      <c r="Y922" s="302"/>
      <c r="Z922" s="302"/>
      <c r="AA922" s="302"/>
    </row>
    <row r="923" spans="1:27" ht="16" x14ac:dyDescent="0.2">
      <c r="A923" s="302"/>
      <c r="B923" s="302"/>
      <c r="C923" s="302"/>
      <c r="D923" s="302"/>
      <c r="E923" s="302"/>
      <c r="F923" s="302"/>
      <c r="G923" s="302"/>
      <c r="H923" s="302"/>
      <c r="I923" s="302"/>
      <c r="J923" s="302"/>
      <c r="K923" s="302"/>
      <c r="L923" s="302"/>
      <c r="M923" s="302"/>
      <c r="N923" s="302"/>
      <c r="O923" s="302"/>
      <c r="P923" s="302"/>
      <c r="Q923" s="302"/>
      <c r="R923" s="302"/>
      <c r="S923" s="302"/>
      <c r="T923" s="413"/>
      <c r="U923" s="302"/>
      <c r="V923" s="302"/>
      <c r="W923" s="302"/>
      <c r="X923" s="302"/>
      <c r="Y923" s="302"/>
      <c r="Z923" s="302"/>
      <c r="AA923" s="302"/>
    </row>
    <row r="924" spans="1:27" ht="16" x14ac:dyDescent="0.2">
      <c r="A924" s="302"/>
      <c r="B924" s="302"/>
      <c r="C924" s="302"/>
      <c r="D924" s="302"/>
      <c r="E924" s="302"/>
      <c r="F924" s="302"/>
      <c r="G924" s="302"/>
      <c r="H924" s="302"/>
      <c r="I924" s="302"/>
      <c r="J924" s="302"/>
      <c r="K924" s="302"/>
      <c r="L924" s="302"/>
      <c r="M924" s="302"/>
      <c r="N924" s="302"/>
      <c r="O924" s="302"/>
      <c r="P924" s="302"/>
      <c r="Q924" s="302"/>
      <c r="R924" s="302"/>
      <c r="S924" s="302"/>
      <c r="T924" s="413"/>
      <c r="U924" s="302"/>
      <c r="V924" s="302"/>
      <c r="W924" s="302"/>
      <c r="X924" s="302"/>
      <c r="Y924" s="302"/>
      <c r="Z924" s="302"/>
      <c r="AA924" s="302"/>
    </row>
    <row r="925" spans="1:27" ht="16" x14ac:dyDescent="0.2">
      <c r="A925" s="302"/>
      <c r="B925" s="302"/>
      <c r="C925" s="302"/>
      <c r="D925" s="302"/>
      <c r="E925" s="302"/>
      <c r="F925" s="302"/>
      <c r="G925" s="302"/>
      <c r="H925" s="302"/>
      <c r="I925" s="302"/>
      <c r="J925" s="302"/>
      <c r="K925" s="302"/>
      <c r="L925" s="302"/>
      <c r="M925" s="302"/>
      <c r="N925" s="302"/>
      <c r="O925" s="302"/>
      <c r="P925" s="302"/>
      <c r="Q925" s="302"/>
      <c r="R925" s="302"/>
      <c r="S925" s="302"/>
      <c r="T925" s="413"/>
      <c r="U925" s="302"/>
      <c r="V925" s="302"/>
      <c r="W925" s="302"/>
      <c r="X925" s="302"/>
      <c r="Y925" s="302"/>
      <c r="Z925" s="302"/>
      <c r="AA925" s="302"/>
    </row>
    <row r="926" spans="1:27" ht="16" x14ac:dyDescent="0.2">
      <c r="A926" s="302"/>
      <c r="B926" s="302"/>
      <c r="C926" s="302"/>
      <c r="D926" s="302"/>
      <c r="E926" s="302"/>
      <c r="F926" s="302"/>
      <c r="G926" s="302"/>
      <c r="H926" s="302"/>
      <c r="I926" s="302"/>
      <c r="J926" s="302"/>
      <c r="K926" s="302"/>
      <c r="L926" s="302"/>
      <c r="M926" s="302"/>
      <c r="N926" s="302"/>
      <c r="O926" s="302"/>
      <c r="P926" s="302"/>
      <c r="Q926" s="302"/>
      <c r="R926" s="302"/>
      <c r="S926" s="302"/>
      <c r="T926" s="413"/>
      <c r="U926" s="302"/>
      <c r="V926" s="302"/>
      <c r="W926" s="302"/>
      <c r="X926" s="302"/>
      <c r="Y926" s="302"/>
      <c r="Z926" s="302"/>
      <c r="AA926" s="302"/>
    </row>
    <row r="927" spans="1:27" ht="16" x14ac:dyDescent="0.2">
      <c r="A927" s="302"/>
      <c r="B927" s="302"/>
      <c r="C927" s="302"/>
      <c r="D927" s="302"/>
      <c r="E927" s="302"/>
      <c r="F927" s="302"/>
      <c r="G927" s="302"/>
      <c r="H927" s="302"/>
      <c r="I927" s="302"/>
      <c r="J927" s="302"/>
      <c r="K927" s="302"/>
      <c r="L927" s="302"/>
      <c r="M927" s="302"/>
      <c r="N927" s="302"/>
      <c r="O927" s="302"/>
      <c r="P927" s="302"/>
      <c r="Q927" s="302"/>
      <c r="R927" s="302"/>
      <c r="S927" s="302"/>
      <c r="T927" s="413"/>
      <c r="U927" s="302"/>
      <c r="V927" s="302"/>
      <c r="W927" s="302"/>
      <c r="X927" s="302"/>
      <c r="Y927" s="302"/>
      <c r="Z927" s="302"/>
      <c r="AA927" s="302"/>
    </row>
    <row r="928" spans="1:27" ht="16" x14ac:dyDescent="0.2">
      <c r="A928" s="302"/>
      <c r="B928" s="302"/>
      <c r="C928" s="302"/>
      <c r="D928" s="302"/>
      <c r="E928" s="302"/>
      <c r="F928" s="302"/>
      <c r="G928" s="302"/>
      <c r="H928" s="302"/>
      <c r="I928" s="302"/>
      <c r="J928" s="302"/>
      <c r="K928" s="302"/>
      <c r="L928" s="302"/>
      <c r="M928" s="302"/>
      <c r="N928" s="302"/>
      <c r="O928" s="302"/>
      <c r="P928" s="302"/>
      <c r="Q928" s="302"/>
      <c r="R928" s="302"/>
      <c r="S928" s="302"/>
      <c r="T928" s="413"/>
      <c r="U928" s="302"/>
      <c r="V928" s="302"/>
      <c r="W928" s="302"/>
      <c r="X928" s="302"/>
      <c r="Y928" s="302"/>
      <c r="Z928" s="302"/>
      <c r="AA928" s="302"/>
    </row>
    <row r="929" spans="1:27" ht="16" x14ac:dyDescent="0.2">
      <c r="A929" s="302"/>
      <c r="B929" s="302"/>
      <c r="C929" s="302"/>
      <c r="D929" s="302"/>
      <c r="E929" s="302"/>
      <c r="F929" s="302"/>
      <c r="G929" s="302"/>
      <c r="H929" s="302"/>
      <c r="I929" s="302"/>
      <c r="J929" s="302"/>
      <c r="K929" s="302"/>
      <c r="L929" s="302"/>
      <c r="M929" s="302"/>
      <c r="N929" s="302"/>
      <c r="O929" s="302"/>
      <c r="P929" s="302"/>
      <c r="Q929" s="302"/>
      <c r="R929" s="302"/>
      <c r="S929" s="302"/>
      <c r="T929" s="413"/>
      <c r="U929" s="302"/>
      <c r="V929" s="302"/>
      <c r="W929" s="302"/>
      <c r="X929" s="302"/>
      <c r="Y929" s="302"/>
      <c r="Z929" s="302"/>
      <c r="AA929" s="302"/>
    </row>
    <row r="930" spans="1:27" ht="16" x14ac:dyDescent="0.2">
      <c r="A930" s="302"/>
      <c r="B930" s="302"/>
      <c r="C930" s="302"/>
      <c r="D930" s="302"/>
      <c r="E930" s="302"/>
      <c r="F930" s="302"/>
      <c r="G930" s="302"/>
      <c r="H930" s="302"/>
      <c r="I930" s="302"/>
      <c r="J930" s="302"/>
      <c r="K930" s="302"/>
      <c r="L930" s="302"/>
      <c r="M930" s="302"/>
      <c r="N930" s="302"/>
      <c r="O930" s="302"/>
      <c r="P930" s="302"/>
      <c r="Q930" s="302"/>
      <c r="R930" s="302"/>
      <c r="S930" s="302"/>
      <c r="T930" s="413"/>
      <c r="U930" s="302"/>
      <c r="V930" s="302"/>
      <c r="W930" s="302"/>
      <c r="X930" s="302"/>
      <c r="Y930" s="302"/>
      <c r="Z930" s="302"/>
      <c r="AA930" s="302"/>
    </row>
    <row r="931" spans="1:27" ht="16" x14ac:dyDescent="0.2">
      <c r="A931" s="302"/>
      <c r="B931" s="302"/>
      <c r="C931" s="302"/>
      <c r="D931" s="302"/>
      <c r="E931" s="302"/>
      <c r="F931" s="302"/>
      <c r="G931" s="302"/>
      <c r="H931" s="302"/>
      <c r="I931" s="302"/>
      <c r="J931" s="302"/>
      <c r="K931" s="302"/>
      <c r="L931" s="302"/>
      <c r="M931" s="302"/>
      <c r="N931" s="302"/>
      <c r="O931" s="302"/>
      <c r="P931" s="302"/>
      <c r="Q931" s="302"/>
      <c r="R931" s="302"/>
      <c r="S931" s="302"/>
      <c r="T931" s="413"/>
      <c r="U931" s="302"/>
      <c r="V931" s="302"/>
      <c r="W931" s="302"/>
      <c r="X931" s="302"/>
      <c r="Y931" s="302"/>
      <c r="Z931" s="302"/>
      <c r="AA931" s="302"/>
    </row>
    <row r="932" spans="1:27" ht="16" x14ac:dyDescent="0.2">
      <c r="A932" s="302"/>
      <c r="B932" s="302"/>
      <c r="C932" s="302"/>
      <c r="D932" s="302"/>
      <c r="E932" s="302"/>
      <c r="F932" s="302"/>
      <c r="G932" s="302"/>
      <c r="H932" s="302"/>
      <c r="I932" s="302"/>
      <c r="J932" s="302"/>
      <c r="K932" s="302"/>
      <c r="L932" s="302"/>
      <c r="M932" s="302"/>
      <c r="N932" s="302"/>
      <c r="O932" s="302"/>
      <c r="P932" s="302"/>
      <c r="Q932" s="302"/>
      <c r="R932" s="302"/>
      <c r="S932" s="302"/>
      <c r="T932" s="413"/>
      <c r="U932" s="302"/>
      <c r="V932" s="302"/>
      <c r="W932" s="302"/>
      <c r="X932" s="302"/>
      <c r="Y932" s="302"/>
      <c r="Z932" s="302"/>
      <c r="AA932" s="302"/>
    </row>
    <row r="933" spans="1:27" ht="16" x14ac:dyDescent="0.2">
      <c r="A933" s="302"/>
      <c r="B933" s="302"/>
      <c r="C933" s="302"/>
      <c r="D933" s="302"/>
      <c r="E933" s="302"/>
      <c r="F933" s="302"/>
      <c r="G933" s="302"/>
      <c r="H933" s="302"/>
      <c r="I933" s="302"/>
      <c r="J933" s="302"/>
      <c r="K933" s="302"/>
      <c r="L933" s="302"/>
      <c r="M933" s="302"/>
      <c r="N933" s="302"/>
      <c r="O933" s="302"/>
      <c r="P933" s="302"/>
      <c r="Q933" s="302"/>
      <c r="R933" s="302"/>
      <c r="S933" s="302"/>
      <c r="T933" s="413"/>
      <c r="U933" s="302"/>
      <c r="V933" s="302"/>
      <c r="W933" s="302"/>
      <c r="X933" s="302"/>
      <c r="Y933" s="302"/>
      <c r="Z933" s="302"/>
      <c r="AA933" s="302"/>
    </row>
    <row r="934" spans="1:27" ht="16" x14ac:dyDescent="0.2">
      <c r="A934" s="302"/>
      <c r="B934" s="302"/>
      <c r="C934" s="302"/>
      <c r="D934" s="302"/>
      <c r="E934" s="302"/>
      <c r="F934" s="302"/>
      <c r="G934" s="302"/>
      <c r="H934" s="302"/>
      <c r="I934" s="302"/>
      <c r="J934" s="302"/>
      <c r="K934" s="302"/>
      <c r="L934" s="302"/>
      <c r="M934" s="302"/>
      <c r="N934" s="302"/>
      <c r="O934" s="302"/>
      <c r="P934" s="302"/>
      <c r="Q934" s="302"/>
      <c r="R934" s="302"/>
      <c r="S934" s="302"/>
      <c r="T934" s="413"/>
      <c r="U934" s="302"/>
      <c r="V934" s="302"/>
      <c r="W934" s="302"/>
      <c r="X934" s="302"/>
      <c r="Y934" s="302"/>
      <c r="Z934" s="302"/>
      <c r="AA934" s="302"/>
    </row>
    <row r="935" spans="1:27" ht="16" x14ac:dyDescent="0.2">
      <c r="A935" s="302"/>
      <c r="B935" s="302"/>
      <c r="C935" s="302"/>
      <c r="D935" s="302"/>
      <c r="E935" s="302"/>
      <c r="F935" s="302"/>
      <c r="G935" s="302"/>
      <c r="H935" s="302"/>
      <c r="I935" s="302"/>
      <c r="J935" s="302"/>
      <c r="K935" s="302"/>
      <c r="L935" s="302"/>
      <c r="M935" s="302"/>
      <c r="N935" s="302"/>
      <c r="O935" s="302"/>
      <c r="P935" s="302"/>
      <c r="Q935" s="302"/>
      <c r="R935" s="302"/>
      <c r="S935" s="302"/>
      <c r="T935" s="413"/>
      <c r="U935" s="302"/>
      <c r="V935" s="302"/>
      <c r="W935" s="302"/>
      <c r="X935" s="302"/>
      <c r="Y935" s="302"/>
      <c r="Z935" s="302"/>
      <c r="AA935" s="302"/>
    </row>
    <row r="936" spans="1:27" ht="16" x14ac:dyDescent="0.2">
      <c r="A936" s="302"/>
      <c r="B936" s="302"/>
      <c r="C936" s="302"/>
      <c r="D936" s="302"/>
      <c r="E936" s="302"/>
      <c r="F936" s="302"/>
      <c r="G936" s="302"/>
      <c r="H936" s="302"/>
      <c r="I936" s="302"/>
      <c r="J936" s="302"/>
      <c r="K936" s="302"/>
      <c r="L936" s="302"/>
      <c r="M936" s="302"/>
      <c r="N936" s="302"/>
      <c r="O936" s="302"/>
      <c r="P936" s="302"/>
      <c r="Q936" s="302"/>
      <c r="R936" s="302"/>
      <c r="S936" s="302"/>
      <c r="T936" s="413"/>
      <c r="U936" s="302"/>
      <c r="V936" s="302"/>
      <c r="W936" s="302"/>
      <c r="X936" s="302"/>
      <c r="Y936" s="302"/>
      <c r="Z936" s="302"/>
      <c r="AA936" s="302"/>
    </row>
    <row r="937" spans="1:27" ht="16" x14ac:dyDescent="0.2">
      <c r="A937" s="302"/>
      <c r="B937" s="302"/>
      <c r="C937" s="302"/>
      <c r="D937" s="302"/>
      <c r="E937" s="302"/>
      <c r="F937" s="302"/>
      <c r="G937" s="302"/>
      <c r="H937" s="302"/>
      <c r="I937" s="302"/>
      <c r="J937" s="302"/>
      <c r="K937" s="302"/>
      <c r="L937" s="302"/>
      <c r="M937" s="302"/>
      <c r="N937" s="302"/>
      <c r="O937" s="302"/>
      <c r="P937" s="302"/>
      <c r="Q937" s="302"/>
      <c r="R937" s="302"/>
      <c r="S937" s="302"/>
      <c r="T937" s="413"/>
      <c r="U937" s="302"/>
      <c r="V937" s="302"/>
      <c r="W937" s="302"/>
      <c r="X937" s="302"/>
      <c r="Y937" s="302"/>
      <c r="Z937" s="302"/>
      <c r="AA937" s="302"/>
    </row>
    <row r="938" spans="1:27" ht="16" x14ac:dyDescent="0.2">
      <c r="A938" s="302"/>
      <c r="B938" s="302"/>
      <c r="C938" s="302"/>
      <c r="D938" s="302"/>
      <c r="E938" s="302"/>
      <c r="F938" s="302"/>
      <c r="G938" s="302"/>
      <c r="H938" s="302"/>
      <c r="I938" s="302"/>
      <c r="J938" s="302"/>
      <c r="K938" s="302"/>
      <c r="L938" s="302"/>
      <c r="M938" s="302"/>
      <c r="N938" s="302"/>
      <c r="O938" s="302"/>
      <c r="P938" s="302"/>
      <c r="Q938" s="302"/>
      <c r="R938" s="302"/>
      <c r="S938" s="302"/>
      <c r="T938" s="413"/>
      <c r="U938" s="302"/>
      <c r="V938" s="302"/>
      <c r="W938" s="302"/>
      <c r="X938" s="302"/>
      <c r="Y938" s="302"/>
      <c r="Z938" s="302"/>
      <c r="AA938" s="302"/>
    </row>
    <row r="939" spans="1:27" ht="16" x14ac:dyDescent="0.2">
      <c r="A939" s="302"/>
      <c r="B939" s="302"/>
      <c r="C939" s="302"/>
      <c r="D939" s="302"/>
      <c r="E939" s="302"/>
      <c r="F939" s="302"/>
      <c r="G939" s="302"/>
      <c r="H939" s="302"/>
      <c r="I939" s="302"/>
      <c r="J939" s="302"/>
      <c r="K939" s="302"/>
      <c r="L939" s="302"/>
      <c r="M939" s="302"/>
      <c r="N939" s="302"/>
      <c r="O939" s="302"/>
      <c r="P939" s="302"/>
      <c r="Q939" s="302"/>
      <c r="R939" s="302"/>
      <c r="S939" s="302"/>
      <c r="T939" s="413"/>
      <c r="U939" s="302"/>
      <c r="V939" s="302"/>
      <c r="W939" s="302"/>
      <c r="X939" s="302"/>
      <c r="Y939" s="302"/>
      <c r="Z939" s="302"/>
      <c r="AA939" s="302"/>
    </row>
    <row r="940" spans="1:27" ht="16" x14ac:dyDescent="0.2">
      <c r="A940" s="302"/>
      <c r="B940" s="302"/>
      <c r="C940" s="302"/>
      <c r="D940" s="302"/>
      <c r="E940" s="302"/>
      <c r="F940" s="302"/>
      <c r="G940" s="302"/>
      <c r="H940" s="302"/>
      <c r="I940" s="302"/>
      <c r="J940" s="302"/>
      <c r="K940" s="302"/>
      <c r="L940" s="302"/>
      <c r="M940" s="302"/>
      <c r="N940" s="302"/>
      <c r="O940" s="302"/>
      <c r="P940" s="302"/>
      <c r="Q940" s="302"/>
      <c r="R940" s="302"/>
      <c r="S940" s="302"/>
      <c r="T940" s="413"/>
      <c r="U940" s="302"/>
      <c r="V940" s="302"/>
      <c r="W940" s="302"/>
      <c r="X940" s="302"/>
      <c r="Y940" s="302"/>
      <c r="Z940" s="302"/>
      <c r="AA940" s="302"/>
    </row>
    <row r="941" spans="1:27" ht="16" x14ac:dyDescent="0.2">
      <c r="A941" s="302"/>
      <c r="B941" s="302"/>
      <c r="C941" s="302"/>
      <c r="D941" s="302"/>
      <c r="E941" s="302"/>
      <c r="F941" s="302"/>
      <c r="G941" s="302"/>
      <c r="H941" s="302"/>
      <c r="I941" s="302"/>
      <c r="J941" s="302"/>
      <c r="K941" s="302"/>
      <c r="L941" s="302"/>
      <c r="M941" s="302"/>
      <c r="N941" s="302"/>
      <c r="O941" s="302"/>
      <c r="P941" s="302"/>
      <c r="Q941" s="302"/>
      <c r="R941" s="302"/>
      <c r="S941" s="302"/>
      <c r="T941" s="413"/>
      <c r="U941" s="302"/>
      <c r="V941" s="302"/>
      <c r="W941" s="302"/>
      <c r="X941" s="302"/>
      <c r="Y941" s="302"/>
      <c r="Z941" s="302"/>
      <c r="AA941" s="302"/>
    </row>
    <row r="942" spans="1:27" ht="16" x14ac:dyDescent="0.2">
      <c r="A942" s="302"/>
      <c r="B942" s="302"/>
      <c r="C942" s="302"/>
      <c r="D942" s="302"/>
      <c r="E942" s="302"/>
      <c r="F942" s="302"/>
      <c r="G942" s="302"/>
      <c r="H942" s="302"/>
      <c r="I942" s="302"/>
      <c r="J942" s="302"/>
      <c r="K942" s="302"/>
      <c r="L942" s="302"/>
      <c r="M942" s="302"/>
      <c r="N942" s="302"/>
      <c r="O942" s="302"/>
      <c r="P942" s="302"/>
      <c r="Q942" s="302"/>
      <c r="R942" s="302"/>
      <c r="S942" s="302"/>
      <c r="T942" s="413"/>
      <c r="U942" s="302"/>
      <c r="V942" s="302"/>
      <c r="W942" s="302"/>
      <c r="X942" s="302"/>
      <c r="Y942" s="302"/>
      <c r="Z942" s="302"/>
      <c r="AA942" s="302"/>
    </row>
    <row r="943" spans="1:27" ht="16" x14ac:dyDescent="0.2">
      <c r="A943" s="302"/>
      <c r="B943" s="302"/>
      <c r="C943" s="302"/>
      <c r="D943" s="302"/>
      <c r="E943" s="302"/>
      <c r="F943" s="302"/>
      <c r="G943" s="302"/>
      <c r="H943" s="302"/>
      <c r="I943" s="302"/>
      <c r="J943" s="302"/>
      <c r="K943" s="302"/>
      <c r="L943" s="302"/>
      <c r="M943" s="302"/>
      <c r="N943" s="302"/>
      <c r="O943" s="302"/>
      <c r="P943" s="302"/>
      <c r="Q943" s="302"/>
      <c r="R943" s="302"/>
      <c r="S943" s="302"/>
      <c r="T943" s="413"/>
      <c r="U943" s="302"/>
      <c r="V943" s="302"/>
      <c r="W943" s="302"/>
      <c r="X943" s="302"/>
      <c r="Y943" s="302"/>
      <c r="Z943" s="302"/>
      <c r="AA943" s="302"/>
    </row>
    <row r="944" spans="1:27" ht="16" x14ac:dyDescent="0.2">
      <c r="A944" s="302"/>
      <c r="B944" s="302"/>
      <c r="C944" s="302"/>
      <c r="D944" s="302"/>
      <c r="E944" s="302"/>
      <c r="F944" s="302"/>
      <c r="G944" s="302"/>
      <c r="H944" s="302"/>
      <c r="I944" s="302"/>
      <c r="J944" s="302"/>
      <c r="K944" s="302"/>
      <c r="L944" s="302"/>
      <c r="M944" s="302"/>
      <c r="N944" s="302"/>
      <c r="O944" s="302"/>
      <c r="P944" s="302"/>
      <c r="Q944" s="302"/>
      <c r="R944" s="302"/>
      <c r="S944" s="302"/>
      <c r="T944" s="413"/>
      <c r="U944" s="302"/>
      <c r="V944" s="302"/>
      <c r="W944" s="302"/>
      <c r="X944" s="302"/>
      <c r="Y944" s="302"/>
      <c r="Z944" s="302"/>
      <c r="AA944" s="302"/>
    </row>
    <row r="945" spans="1:27" ht="16" x14ac:dyDescent="0.2">
      <c r="A945" s="302"/>
      <c r="B945" s="302"/>
      <c r="C945" s="302"/>
      <c r="D945" s="302"/>
      <c r="E945" s="302"/>
      <c r="F945" s="302"/>
      <c r="G945" s="302"/>
      <c r="H945" s="302"/>
      <c r="I945" s="302"/>
      <c r="J945" s="302"/>
      <c r="K945" s="302"/>
      <c r="L945" s="302"/>
      <c r="M945" s="302"/>
      <c r="N945" s="302"/>
      <c r="O945" s="302"/>
      <c r="P945" s="302"/>
      <c r="Q945" s="302"/>
      <c r="R945" s="302"/>
      <c r="S945" s="302"/>
      <c r="T945" s="413"/>
      <c r="U945" s="302"/>
      <c r="V945" s="302"/>
      <c r="W945" s="302"/>
      <c r="X945" s="302"/>
      <c r="Y945" s="302"/>
      <c r="Z945" s="302"/>
      <c r="AA945" s="302"/>
    </row>
    <row r="946" spans="1:27" ht="16" x14ac:dyDescent="0.2">
      <c r="A946" s="302"/>
      <c r="B946" s="302"/>
      <c r="C946" s="302"/>
      <c r="D946" s="302"/>
      <c r="E946" s="302"/>
      <c r="F946" s="302"/>
      <c r="G946" s="302"/>
      <c r="H946" s="302"/>
      <c r="I946" s="302"/>
      <c r="J946" s="302"/>
      <c r="K946" s="302"/>
      <c r="L946" s="302"/>
      <c r="M946" s="302"/>
      <c r="N946" s="302"/>
      <c r="O946" s="302"/>
      <c r="P946" s="302"/>
      <c r="Q946" s="302"/>
      <c r="R946" s="302"/>
      <c r="S946" s="302"/>
      <c r="T946" s="413"/>
      <c r="U946" s="302"/>
      <c r="V946" s="302"/>
      <c r="W946" s="302"/>
      <c r="X946" s="302"/>
      <c r="Y946" s="302"/>
      <c r="Z946" s="302"/>
      <c r="AA946" s="302"/>
    </row>
    <row r="947" spans="1:27" ht="16" x14ac:dyDescent="0.2">
      <c r="A947" s="302"/>
      <c r="B947" s="302"/>
      <c r="C947" s="302"/>
      <c r="D947" s="302"/>
      <c r="E947" s="302"/>
      <c r="F947" s="302"/>
      <c r="G947" s="302"/>
      <c r="H947" s="302"/>
      <c r="I947" s="302"/>
      <c r="J947" s="302"/>
      <c r="K947" s="302"/>
      <c r="L947" s="302"/>
      <c r="M947" s="302"/>
      <c r="N947" s="302"/>
      <c r="O947" s="302"/>
      <c r="P947" s="302"/>
      <c r="Q947" s="302"/>
      <c r="R947" s="302"/>
      <c r="S947" s="302"/>
      <c r="T947" s="413"/>
      <c r="U947" s="302"/>
      <c r="V947" s="302"/>
      <c r="W947" s="302"/>
      <c r="X947" s="302"/>
      <c r="Y947" s="302"/>
      <c r="Z947" s="302"/>
      <c r="AA947" s="302"/>
    </row>
    <row r="948" spans="1:27" ht="16" x14ac:dyDescent="0.2">
      <c r="A948" s="302"/>
      <c r="B948" s="302"/>
      <c r="C948" s="302"/>
      <c r="D948" s="302"/>
      <c r="E948" s="302"/>
      <c r="F948" s="302"/>
      <c r="G948" s="302"/>
      <c r="H948" s="302"/>
      <c r="I948" s="302"/>
      <c r="J948" s="302"/>
      <c r="K948" s="302"/>
      <c r="L948" s="302"/>
      <c r="M948" s="302"/>
      <c r="N948" s="302"/>
      <c r="O948" s="302"/>
      <c r="P948" s="302"/>
      <c r="Q948" s="302"/>
      <c r="R948" s="302"/>
      <c r="S948" s="302"/>
      <c r="T948" s="413"/>
      <c r="U948" s="302"/>
      <c r="V948" s="302"/>
      <c r="W948" s="302"/>
      <c r="X948" s="302"/>
      <c r="Y948" s="302"/>
      <c r="Z948" s="302"/>
      <c r="AA948" s="302"/>
    </row>
    <row r="949" spans="1:27" ht="16" x14ac:dyDescent="0.2">
      <c r="A949" s="302"/>
      <c r="B949" s="302"/>
      <c r="C949" s="302"/>
      <c r="D949" s="302"/>
      <c r="E949" s="302"/>
      <c r="F949" s="302"/>
      <c r="G949" s="302"/>
      <c r="H949" s="302"/>
      <c r="I949" s="302"/>
      <c r="J949" s="302"/>
      <c r="K949" s="302"/>
      <c r="L949" s="302"/>
      <c r="M949" s="302"/>
      <c r="N949" s="302"/>
      <c r="O949" s="302"/>
      <c r="P949" s="302"/>
      <c r="Q949" s="302"/>
      <c r="R949" s="302"/>
      <c r="S949" s="302"/>
      <c r="T949" s="413"/>
      <c r="U949" s="302"/>
      <c r="V949" s="302"/>
      <c r="W949" s="302"/>
      <c r="X949" s="302"/>
      <c r="Y949" s="302"/>
      <c r="Z949" s="302"/>
      <c r="AA949" s="302"/>
    </row>
    <row r="950" spans="1:27" ht="16" x14ac:dyDescent="0.2">
      <c r="A950" s="302"/>
      <c r="B950" s="302"/>
      <c r="C950" s="302"/>
      <c r="D950" s="302"/>
      <c r="E950" s="302"/>
      <c r="F950" s="302"/>
      <c r="G950" s="302"/>
      <c r="H950" s="302"/>
      <c r="I950" s="302"/>
      <c r="J950" s="302"/>
      <c r="K950" s="302"/>
      <c r="L950" s="302"/>
      <c r="M950" s="302"/>
      <c r="N950" s="302"/>
      <c r="O950" s="302"/>
      <c r="P950" s="302"/>
      <c r="Q950" s="302"/>
      <c r="R950" s="302"/>
      <c r="S950" s="302"/>
      <c r="T950" s="413"/>
      <c r="U950" s="302"/>
      <c r="V950" s="302"/>
      <c r="W950" s="302"/>
      <c r="X950" s="302"/>
      <c r="Y950" s="302"/>
      <c r="Z950" s="302"/>
      <c r="AA950" s="302"/>
    </row>
    <row r="951" spans="1:27" ht="16" x14ac:dyDescent="0.2">
      <c r="A951" s="302"/>
      <c r="B951" s="302"/>
      <c r="C951" s="302"/>
      <c r="D951" s="302"/>
      <c r="E951" s="302"/>
      <c r="F951" s="302"/>
      <c r="G951" s="302"/>
      <c r="H951" s="302"/>
      <c r="I951" s="302"/>
      <c r="J951" s="302"/>
      <c r="K951" s="302"/>
      <c r="L951" s="302"/>
      <c r="M951" s="302"/>
      <c r="N951" s="302"/>
      <c r="O951" s="302"/>
      <c r="P951" s="302"/>
      <c r="Q951" s="302"/>
      <c r="R951" s="302"/>
      <c r="S951" s="302"/>
      <c r="T951" s="413"/>
      <c r="U951" s="302"/>
      <c r="V951" s="302"/>
      <c r="W951" s="302"/>
      <c r="X951" s="302"/>
      <c r="Y951" s="302"/>
      <c r="Z951" s="302"/>
      <c r="AA951" s="302"/>
    </row>
    <row r="952" spans="1:27" ht="16" x14ac:dyDescent="0.2">
      <c r="A952" s="302"/>
      <c r="B952" s="302"/>
      <c r="C952" s="302"/>
      <c r="D952" s="302"/>
      <c r="E952" s="302"/>
      <c r="F952" s="302"/>
      <c r="G952" s="302"/>
      <c r="H952" s="302"/>
      <c r="I952" s="302"/>
      <c r="J952" s="302"/>
      <c r="K952" s="302"/>
      <c r="L952" s="302"/>
      <c r="M952" s="302"/>
      <c r="N952" s="302"/>
      <c r="O952" s="302"/>
      <c r="P952" s="302"/>
      <c r="Q952" s="302"/>
      <c r="R952" s="302"/>
      <c r="S952" s="302"/>
      <c r="T952" s="413"/>
      <c r="U952" s="302"/>
      <c r="V952" s="302"/>
      <c r="W952" s="302"/>
      <c r="X952" s="302"/>
      <c r="Y952" s="302"/>
      <c r="Z952" s="302"/>
      <c r="AA952" s="302"/>
    </row>
    <row r="953" spans="1:27" ht="16" x14ac:dyDescent="0.2">
      <c r="A953" s="302"/>
      <c r="B953" s="302"/>
      <c r="C953" s="302"/>
      <c r="D953" s="302"/>
      <c r="E953" s="302"/>
      <c r="F953" s="302"/>
      <c r="G953" s="302"/>
      <c r="H953" s="302"/>
      <c r="I953" s="302"/>
      <c r="J953" s="302"/>
      <c r="K953" s="302"/>
      <c r="L953" s="302"/>
      <c r="M953" s="302"/>
      <c r="N953" s="302"/>
      <c r="O953" s="302"/>
      <c r="P953" s="302"/>
      <c r="Q953" s="302"/>
      <c r="R953" s="302"/>
      <c r="S953" s="302"/>
      <c r="T953" s="413"/>
      <c r="U953" s="302"/>
      <c r="V953" s="302"/>
      <c r="W953" s="302"/>
      <c r="X953" s="302"/>
      <c r="Y953" s="302"/>
      <c r="Z953" s="302"/>
      <c r="AA953" s="302"/>
    </row>
    <row r="954" spans="1:27" ht="16" x14ac:dyDescent="0.2">
      <c r="A954" s="302"/>
      <c r="B954" s="302"/>
      <c r="C954" s="302"/>
      <c r="D954" s="302"/>
      <c r="E954" s="302"/>
      <c r="F954" s="302"/>
      <c r="G954" s="302"/>
      <c r="H954" s="302"/>
      <c r="I954" s="302"/>
      <c r="J954" s="302"/>
      <c r="K954" s="302"/>
      <c r="L954" s="302"/>
      <c r="M954" s="302"/>
      <c r="N954" s="302"/>
      <c r="O954" s="302"/>
      <c r="P954" s="302"/>
      <c r="Q954" s="302"/>
      <c r="R954" s="302"/>
      <c r="S954" s="302"/>
      <c r="T954" s="413"/>
      <c r="U954" s="302"/>
      <c r="V954" s="302"/>
      <c r="W954" s="302"/>
      <c r="X954" s="302"/>
      <c r="Y954" s="302"/>
      <c r="Z954" s="302"/>
      <c r="AA954" s="302"/>
    </row>
    <row r="955" spans="1:27" ht="16" x14ac:dyDescent="0.2">
      <c r="A955" s="302"/>
      <c r="B955" s="302"/>
      <c r="C955" s="302"/>
      <c r="D955" s="302"/>
      <c r="E955" s="302"/>
      <c r="F955" s="302"/>
      <c r="G955" s="302"/>
      <c r="H955" s="302"/>
      <c r="I955" s="302"/>
      <c r="J955" s="302"/>
      <c r="K955" s="302"/>
      <c r="L955" s="302"/>
      <c r="M955" s="302"/>
      <c r="N955" s="302"/>
      <c r="O955" s="302"/>
      <c r="P955" s="302"/>
      <c r="Q955" s="302"/>
      <c r="R955" s="302"/>
      <c r="S955" s="302"/>
      <c r="T955" s="413"/>
      <c r="U955" s="302"/>
      <c r="V955" s="302"/>
      <c r="W955" s="302"/>
      <c r="X955" s="302"/>
      <c r="Y955" s="302"/>
      <c r="Z955" s="302"/>
      <c r="AA955" s="302"/>
    </row>
    <row r="956" spans="1:27" ht="16" x14ac:dyDescent="0.2">
      <c r="A956" s="302"/>
      <c r="B956" s="302"/>
      <c r="C956" s="302"/>
      <c r="D956" s="302"/>
      <c r="E956" s="302"/>
      <c r="F956" s="302"/>
      <c r="G956" s="302"/>
      <c r="H956" s="302"/>
      <c r="I956" s="302"/>
      <c r="J956" s="302"/>
      <c r="K956" s="302"/>
      <c r="L956" s="302"/>
      <c r="M956" s="302"/>
      <c r="N956" s="302"/>
      <c r="O956" s="302"/>
      <c r="P956" s="302"/>
      <c r="Q956" s="302"/>
      <c r="R956" s="302"/>
      <c r="S956" s="302"/>
      <c r="T956" s="413"/>
      <c r="U956" s="302"/>
      <c r="V956" s="302"/>
      <c r="W956" s="302"/>
      <c r="X956" s="302"/>
      <c r="Y956" s="302"/>
      <c r="Z956" s="302"/>
      <c r="AA956" s="302"/>
    </row>
    <row r="957" spans="1:27" ht="16" x14ac:dyDescent="0.2">
      <c r="A957" s="302"/>
      <c r="B957" s="302"/>
      <c r="C957" s="302"/>
      <c r="D957" s="302"/>
      <c r="E957" s="302"/>
      <c r="F957" s="302"/>
      <c r="G957" s="302"/>
      <c r="H957" s="302"/>
      <c r="I957" s="302"/>
      <c r="J957" s="302"/>
      <c r="K957" s="302"/>
      <c r="L957" s="302"/>
      <c r="M957" s="302"/>
      <c r="N957" s="302"/>
      <c r="O957" s="302"/>
      <c r="P957" s="302"/>
      <c r="Q957" s="302"/>
      <c r="R957" s="302"/>
      <c r="S957" s="302"/>
      <c r="T957" s="413"/>
      <c r="U957" s="302"/>
      <c r="V957" s="302"/>
      <c r="W957" s="302"/>
      <c r="X957" s="302"/>
      <c r="Y957" s="302"/>
      <c r="Z957" s="302"/>
      <c r="AA957" s="302"/>
    </row>
    <row r="958" spans="1:27" ht="16" x14ac:dyDescent="0.2">
      <c r="A958" s="302"/>
      <c r="B958" s="302"/>
      <c r="C958" s="302"/>
      <c r="D958" s="302"/>
      <c r="E958" s="302"/>
      <c r="F958" s="302"/>
      <c r="G958" s="302"/>
      <c r="H958" s="302"/>
      <c r="I958" s="302"/>
      <c r="J958" s="302"/>
      <c r="K958" s="302"/>
      <c r="L958" s="302"/>
      <c r="M958" s="302"/>
      <c r="N958" s="302"/>
      <c r="O958" s="302"/>
      <c r="P958" s="302"/>
      <c r="Q958" s="302"/>
      <c r="R958" s="302"/>
      <c r="S958" s="302"/>
      <c r="T958" s="413"/>
      <c r="U958" s="302"/>
      <c r="V958" s="302"/>
      <c r="W958" s="302"/>
      <c r="X958" s="302"/>
      <c r="Y958" s="302"/>
      <c r="Z958" s="302"/>
      <c r="AA958" s="302"/>
    </row>
    <row r="959" spans="1:27" ht="16" x14ac:dyDescent="0.2">
      <c r="A959" s="302"/>
      <c r="B959" s="302"/>
      <c r="C959" s="302"/>
      <c r="D959" s="302"/>
      <c r="E959" s="302"/>
      <c r="F959" s="302"/>
      <c r="G959" s="302"/>
      <c r="H959" s="302"/>
      <c r="I959" s="302"/>
      <c r="J959" s="302"/>
      <c r="K959" s="302"/>
      <c r="L959" s="302"/>
      <c r="M959" s="302"/>
      <c r="N959" s="302"/>
      <c r="O959" s="302"/>
      <c r="P959" s="302"/>
      <c r="Q959" s="302"/>
      <c r="R959" s="302"/>
      <c r="S959" s="302"/>
      <c r="T959" s="413"/>
      <c r="U959" s="302"/>
      <c r="V959" s="302"/>
      <c r="W959" s="302"/>
      <c r="X959" s="302"/>
      <c r="Y959" s="302"/>
      <c r="Z959" s="302"/>
      <c r="AA959" s="302"/>
    </row>
    <row r="960" spans="1:27" ht="16" x14ac:dyDescent="0.2">
      <c r="A960" s="302"/>
      <c r="B960" s="302"/>
      <c r="C960" s="302"/>
      <c r="D960" s="302"/>
      <c r="E960" s="302"/>
      <c r="F960" s="302"/>
      <c r="G960" s="302"/>
      <c r="H960" s="302"/>
      <c r="I960" s="302"/>
      <c r="J960" s="302"/>
      <c r="K960" s="302"/>
      <c r="L960" s="302"/>
      <c r="M960" s="302"/>
      <c r="N960" s="302"/>
      <c r="O960" s="302"/>
      <c r="P960" s="302"/>
      <c r="Q960" s="302"/>
      <c r="R960" s="302"/>
      <c r="S960" s="302"/>
      <c r="T960" s="413"/>
      <c r="U960" s="302"/>
      <c r="V960" s="302"/>
      <c r="W960" s="302"/>
      <c r="X960" s="302"/>
      <c r="Y960" s="302"/>
      <c r="Z960" s="302"/>
      <c r="AA960" s="302"/>
    </row>
    <row r="961" spans="1:27" ht="16" x14ac:dyDescent="0.2">
      <c r="A961" s="302"/>
      <c r="B961" s="302"/>
      <c r="C961" s="302"/>
      <c r="D961" s="302"/>
      <c r="E961" s="302"/>
      <c r="F961" s="302"/>
      <c r="G961" s="302"/>
      <c r="H961" s="302"/>
      <c r="I961" s="302"/>
      <c r="J961" s="302"/>
      <c r="K961" s="302"/>
      <c r="L961" s="302"/>
      <c r="M961" s="302"/>
      <c r="N961" s="302"/>
      <c r="O961" s="302"/>
      <c r="P961" s="302"/>
      <c r="Q961" s="302"/>
      <c r="R961" s="302"/>
      <c r="S961" s="302"/>
      <c r="T961" s="413"/>
      <c r="U961" s="302"/>
      <c r="V961" s="302"/>
      <c r="W961" s="302"/>
      <c r="X961" s="302"/>
      <c r="Y961" s="302"/>
      <c r="Z961" s="302"/>
      <c r="AA961" s="302"/>
    </row>
    <row r="962" spans="1:27" ht="16" x14ac:dyDescent="0.2">
      <c r="A962" s="302"/>
      <c r="B962" s="302"/>
      <c r="C962" s="302"/>
      <c r="D962" s="302"/>
      <c r="E962" s="302"/>
      <c r="F962" s="302"/>
      <c r="G962" s="302"/>
      <c r="H962" s="302"/>
      <c r="I962" s="302"/>
      <c r="J962" s="302"/>
      <c r="K962" s="302"/>
      <c r="L962" s="302"/>
      <c r="M962" s="302"/>
      <c r="N962" s="302"/>
      <c r="O962" s="302"/>
      <c r="P962" s="302"/>
      <c r="Q962" s="302"/>
      <c r="R962" s="302"/>
      <c r="S962" s="302"/>
      <c r="T962" s="413"/>
      <c r="U962" s="302"/>
      <c r="V962" s="302"/>
      <c r="W962" s="302"/>
      <c r="X962" s="302"/>
      <c r="Y962" s="302"/>
      <c r="Z962" s="302"/>
      <c r="AA962" s="302"/>
    </row>
    <row r="963" spans="1:27" ht="16" x14ac:dyDescent="0.2">
      <c r="A963" s="302"/>
      <c r="B963" s="302"/>
      <c r="C963" s="302"/>
      <c r="D963" s="302"/>
      <c r="E963" s="302"/>
      <c r="F963" s="302"/>
      <c r="G963" s="302"/>
      <c r="H963" s="302"/>
      <c r="I963" s="302"/>
      <c r="J963" s="302"/>
      <c r="K963" s="302"/>
      <c r="L963" s="302"/>
      <c r="M963" s="302"/>
      <c r="N963" s="302"/>
      <c r="O963" s="302"/>
      <c r="P963" s="302"/>
      <c r="Q963" s="302"/>
      <c r="R963" s="302"/>
      <c r="S963" s="302"/>
      <c r="T963" s="413"/>
      <c r="U963" s="302"/>
      <c r="V963" s="302"/>
      <c r="W963" s="302"/>
      <c r="X963" s="302"/>
      <c r="Y963" s="302"/>
      <c r="Z963" s="302"/>
      <c r="AA963" s="302"/>
    </row>
    <row r="964" spans="1:27" ht="16" x14ac:dyDescent="0.2">
      <c r="A964" s="302"/>
      <c r="B964" s="302"/>
      <c r="C964" s="302"/>
      <c r="D964" s="302"/>
      <c r="E964" s="302"/>
      <c r="F964" s="302"/>
      <c r="G964" s="302"/>
      <c r="H964" s="302"/>
      <c r="I964" s="302"/>
      <c r="J964" s="302"/>
      <c r="K964" s="302"/>
      <c r="L964" s="302"/>
      <c r="M964" s="302"/>
      <c r="N964" s="302"/>
      <c r="O964" s="302"/>
      <c r="P964" s="302"/>
      <c r="Q964" s="302"/>
      <c r="R964" s="302"/>
      <c r="S964" s="302"/>
      <c r="T964" s="413"/>
      <c r="U964" s="302"/>
      <c r="V964" s="302"/>
      <c r="W964" s="302"/>
      <c r="X964" s="302"/>
      <c r="Y964" s="302"/>
      <c r="Z964" s="302"/>
      <c r="AA964" s="302"/>
    </row>
    <row r="965" spans="1:27" ht="16" x14ac:dyDescent="0.2">
      <c r="A965" s="302"/>
      <c r="B965" s="302"/>
      <c r="C965" s="302"/>
      <c r="D965" s="302"/>
      <c r="E965" s="302"/>
      <c r="F965" s="302"/>
      <c r="G965" s="302"/>
      <c r="H965" s="302"/>
      <c r="I965" s="302"/>
      <c r="J965" s="302"/>
      <c r="K965" s="302"/>
      <c r="L965" s="302"/>
      <c r="M965" s="302"/>
      <c r="N965" s="302"/>
      <c r="O965" s="302"/>
      <c r="P965" s="302"/>
      <c r="Q965" s="302"/>
      <c r="R965" s="302"/>
      <c r="S965" s="302"/>
      <c r="T965" s="413"/>
      <c r="U965" s="302"/>
      <c r="V965" s="302"/>
      <c r="W965" s="302"/>
      <c r="X965" s="302"/>
      <c r="Y965" s="302"/>
      <c r="Z965" s="302"/>
      <c r="AA965" s="302"/>
    </row>
    <row r="966" spans="1:27" ht="16" x14ac:dyDescent="0.2">
      <c r="A966" s="302"/>
      <c r="B966" s="302"/>
      <c r="C966" s="302"/>
      <c r="D966" s="302"/>
      <c r="E966" s="302"/>
      <c r="F966" s="302"/>
      <c r="G966" s="302"/>
      <c r="H966" s="302"/>
      <c r="I966" s="302"/>
      <c r="J966" s="302"/>
      <c r="K966" s="302"/>
      <c r="L966" s="302"/>
      <c r="M966" s="302"/>
      <c r="N966" s="302"/>
      <c r="O966" s="302"/>
      <c r="P966" s="302"/>
      <c r="Q966" s="302"/>
      <c r="R966" s="302"/>
      <c r="S966" s="302"/>
      <c r="T966" s="413"/>
      <c r="U966" s="302"/>
      <c r="V966" s="302"/>
      <c r="W966" s="302"/>
      <c r="X966" s="302"/>
      <c r="Y966" s="302"/>
      <c r="Z966" s="302"/>
      <c r="AA966" s="302"/>
    </row>
    <row r="967" spans="1:27" ht="16" x14ac:dyDescent="0.2">
      <c r="A967" s="302"/>
      <c r="B967" s="302"/>
      <c r="C967" s="302"/>
      <c r="D967" s="302"/>
      <c r="E967" s="302"/>
      <c r="F967" s="302"/>
      <c r="G967" s="302"/>
      <c r="H967" s="302"/>
      <c r="I967" s="302"/>
      <c r="J967" s="302"/>
      <c r="K967" s="302"/>
      <c r="L967" s="302"/>
      <c r="M967" s="302"/>
      <c r="N967" s="302"/>
      <c r="O967" s="302"/>
      <c r="P967" s="302"/>
      <c r="Q967" s="302"/>
      <c r="R967" s="302"/>
      <c r="S967" s="302"/>
      <c r="T967" s="413"/>
      <c r="U967" s="302"/>
      <c r="V967" s="302"/>
      <c r="W967" s="302"/>
      <c r="X967" s="302"/>
      <c r="Y967" s="302"/>
      <c r="Z967" s="302"/>
      <c r="AA967" s="302"/>
    </row>
    <row r="968" spans="1:27" ht="16" x14ac:dyDescent="0.2">
      <c r="A968" s="302"/>
      <c r="B968" s="302"/>
      <c r="C968" s="302"/>
      <c r="D968" s="302"/>
      <c r="E968" s="302"/>
      <c r="F968" s="302"/>
      <c r="G968" s="302"/>
      <c r="H968" s="302"/>
      <c r="I968" s="302"/>
      <c r="J968" s="302"/>
      <c r="K968" s="302"/>
      <c r="L968" s="302"/>
      <c r="M968" s="302"/>
      <c r="N968" s="302"/>
      <c r="O968" s="302"/>
      <c r="P968" s="302"/>
      <c r="Q968" s="302"/>
      <c r="R968" s="302"/>
      <c r="S968" s="302"/>
      <c r="T968" s="413"/>
      <c r="U968" s="302"/>
      <c r="V968" s="302"/>
      <c r="W968" s="302"/>
      <c r="X968" s="302"/>
      <c r="Y968" s="302"/>
      <c r="Z968" s="302"/>
      <c r="AA968" s="302"/>
    </row>
    <row r="969" spans="1:27" ht="16" x14ac:dyDescent="0.2">
      <c r="A969" s="302"/>
      <c r="B969" s="302"/>
      <c r="C969" s="302"/>
      <c r="D969" s="302"/>
      <c r="E969" s="302"/>
      <c r="F969" s="302"/>
      <c r="G969" s="302"/>
      <c r="H969" s="302"/>
      <c r="I969" s="302"/>
      <c r="J969" s="302"/>
      <c r="K969" s="302"/>
      <c r="L969" s="302"/>
      <c r="M969" s="302"/>
      <c r="N969" s="302"/>
      <c r="O969" s="302"/>
      <c r="P969" s="302"/>
      <c r="Q969" s="302"/>
      <c r="R969" s="302"/>
      <c r="S969" s="302"/>
      <c r="T969" s="413"/>
      <c r="U969" s="302"/>
      <c r="V969" s="302"/>
      <c r="W969" s="302"/>
      <c r="X969" s="302"/>
      <c r="Y969" s="302"/>
      <c r="Z969" s="302"/>
      <c r="AA969" s="302"/>
    </row>
    <row r="970" spans="1:27" ht="16" x14ac:dyDescent="0.2">
      <c r="A970" s="302"/>
      <c r="B970" s="302"/>
      <c r="C970" s="302"/>
      <c r="D970" s="302"/>
      <c r="E970" s="302"/>
      <c r="F970" s="302"/>
      <c r="G970" s="302"/>
      <c r="H970" s="302"/>
      <c r="I970" s="302"/>
      <c r="J970" s="302"/>
      <c r="K970" s="302"/>
      <c r="L970" s="302"/>
      <c r="M970" s="302"/>
      <c r="N970" s="302"/>
      <c r="O970" s="302"/>
      <c r="P970" s="302"/>
      <c r="Q970" s="302"/>
      <c r="R970" s="302"/>
      <c r="S970" s="302"/>
      <c r="T970" s="413"/>
      <c r="U970" s="302"/>
      <c r="V970" s="302"/>
      <c r="W970" s="302"/>
      <c r="X970" s="302"/>
      <c r="Y970" s="302"/>
      <c r="Z970" s="302"/>
      <c r="AA970" s="302"/>
    </row>
    <row r="971" spans="1:27" ht="16" x14ac:dyDescent="0.2">
      <c r="A971" s="302"/>
      <c r="B971" s="302"/>
      <c r="C971" s="302"/>
      <c r="D971" s="302"/>
      <c r="E971" s="302"/>
      <c r="F971" s="302"/>
      <c r="G971" s="302"/>
      <c r="H971" s="302"/>
      <c r="I971" s="302"/>
      <c r="J971" s="302"/>
      <c r="K971" s="302"/>
      <c r="L971" s="302"/>
      <c r="M971" s="302"/>
      <c r="N971" s="302"/>
      <c r="O971" s="302"/>
      <c r="P971" s="302"/>
      <c r="Q971" s="302"/>
      <c r="R971" s="302"/>
      <c r="S971" s="302"/>
      <c r="T971" s="413"/>
      <c r="U971" s="302"/>
      <c r="V971" s="302"/>
      <c r="W971" s="302"/>
      <c r="X971" s="302"/>
      <c r="Y971" s="302"/>
      <c r="Z971" s="302"/>
      <c r="AA971" s="302"/>
    </row>
    <row r="972" spans="1:27" ht="16" x14ac:dyDescent="0.2">
      <c r="A972" s="302"/>
      <c r="B972" s="302"/>
      <c r="C972" s="302"/>
      <c r="D972" s="302"/>
      <c r="E972" s="302"/>
      <c r="F972" s="302"/>
      <c r="G972" s="302"/>
      <c r="H972" s="302"/>
      <c r="I972" s="302"/>
      <c r="J972" s="302"/>
      <c r="K972" s="302"/>
      <c r="L972" s="302"/>
      <c r="M972" s="302"/>
      <c r="N972" s="302"/>
      <c r="O972" s="302"/>
      <c r="P972" s="302"/>
      <c r="Q972" s="302"/>
      <c r="R972" s="302"/>
      <c r="S972" s="302"/>
      <c r="T972" s="413"/>
      <c r="U972" s="302"/>
      <c r="V972" s="302"/>
      <c r="W972" s="302"/>
      <c r="X972" s="302"/>
      <c r="Y972" s="302"/>
      <c r="Z972" s="302"/>
      <c r="AA972" s="302"/>
    </row>
    <row r="973" spans="1:27" ht="16" x14ac:dyDescent="0.2">
      <c r="A973" s="302"/>
      <c r="B973" s="302"/>
      <c r="C973" s="302"/>
      <c r="D973" s="302"/>
      <c r="E973" s="302"/>
      <c r="F973" s="302"/>
      <c r="G973" s="302"/>
      <c r="H973" s="302"/>
      <c r="I973" s="302"/>
      <c r="J973" s="302"/>
      <c r="K973" s="302"/>
      <c r="L973" s="302"/>
      <c r="M973" s="302"/>
      <c r="N973" s="302"/>
      <c r="O973" s="302"/>
      <c r="P973" s="302"/>
      <c r="Q973" s="302"/>
      <c r="R973" s="302"/>
      <c r="S973" s="302"/>
      <c r="T973" s="413"/>
      <c r="U973" s="302"/>
      <c r="V973" s="302"/>
      <c r="W973" s="302"/>
      <c r="X973" s="302"/>
      <c r="Y973" s="302"/>
      <c r="Z973" s="302"/>
      <c r="AA973" s="302"/>
    </row>
    <row r="974" spans="1:27" ht="16" x14ac:dyDescent="0.2">
      <c r="A974" s="302"/>
      <c r="B974" s="302"/>
      <c r="C974" s="302"/>
      <c r="D974" s="302"/>
      <c r="E974" s="302"/>
      <c r="F974" s="302"/>
      <c r="G974" s="302"/>
      <c r="H974" s="302"/>
      <c r="I974" s="302"/>
      <c r="J974" s="302"/>
      <c r="K974" s="302"/>
      <c r="L974" s="302"/>
      <c r="M974" s="302"/>
      <c r="N974" s="302"/>
      <c r="O974" s="302"/>
      <c r="P974" s="302"/>
      <c r="Q974" s="302"/>
      <c r="R974" s="302"/>
      <c r="S974" s="302"/>
      <c r="T974" s="413"/>
      <c r="U974" s="302"/>
      <c r="V974" s="302"/>
      <c r="W974" s="302"/>
      <c r="X974" s="302"/>
      <c r="Y974" s="302"/>
      <c r="Z974" s="302"/>
      <c r="AA974" s="302"/>
    </row>
    <row r="975" spans="1:27" ht="16" x14ac:dyDescent="0.2">
      <c r="A975" s="302"/>
      <c r="B975" s="302"/>
      <c r="C975" s="302"/>
      <c r="D975" s="302"/>
      <c r="E975" s="302"/>
      <c r="F975" s="302"/>
      <c r="G975" s="302"/>
      <c r="H975" s="302"/>
      <c r="I975" s="302"/>
      <c r="J975" s="302"/>
      <c r="K975" s="302"/>
      <c r="L975" s="302"/>
      <c r="M975" s="302"/>
      <c r="N975" s="302"/>
      <c r="O975" s="302"/>
      <c r="P975" s="302"/>
      <c r="Q975" s="302"/>
      <c r="R975" s="302"/>
      <c r="S975" s="302"/>
      <c r="T975" s="413"/>
      <c r="U975" s="302"/>
      <c r="V975" s="302"/>
      <c r="W975" s="302"/>
      <c r="X975" s="302"/>
      <c r="Y975" s="302"/>
      <c r="Z975" s="302"/>
      <c r="AA975" s="302"/>
    </row>
    <row r="976" spans="1:27" ht="16" x14ac:dyDescent="0.2">
      <c r="A976" s="302"/>
      <c r="B976" s="302"/>
      <c r="C976" s="302"/>
      <c r="D976" s="302"/>
      <c r="E976" s="302"/>
      <c r="F976" s="302"/>
      <c r="G976" s="302"/>
      <c r="H976" s="302"/>
      <c r="I976" s="302"/>
      <c r="J976" s="302"/>
      <c r="K976" s="302"/>
      <c r="L976" s="302"/>
      <c r="M976" s="302"/>
      <c r="N976" s="302"/>
      <c r="O976" s="302"/>
      <c r="P976" s="302"/>
      <c r="Q976" s="302"/>
      <c r="R976" s="302"/>
      <c r="S976" s="302"/>
      <c r="T976" s="413"/>
      <c r="U976" s="302"/>
      <c r="V976" s="302"/>
      <c r="W976" s="302"/>
      <c r="X976" s="302"/>
      <c r="Y976" s="302"/>
      <c r="Z976" s="302"/>
      <c r="AA976" s="302"/>
    </row>
    <row r="977" spans="1:27" ht="16" x14ac:dyDescent="0.2">
      <c r="A977" s="302"/>
      <c r="B977" s="302"/>
      <c r="C977" s="302"/>
      <c r="D977" s="302"/>
      <c r="E977" s="302"/>
      <c r="F977" s="302"/>
      <c r="G977" s="302"/>
      <c r="H977" s="302"/>
      <c r="I977" s="302"/>
      <c r="J977" s="302"/>
      <c r="K977" s="302"/>
      <c r="L977" s="302"/>
      <c r="M977" s="302"/>
      <c r="N977" s="302"/>
      <c r="O977" s="302"/>
      <c r="P977" s="302"/>
      <c r="Q977" s="302"/>
      <c r="R977" s="302"/>
      <c r="S977" s="302"/>
      <c r="T977" s="413"/>
      <c r="U977" s="302"/>
      <c r="V977" s="302"/>
      <c r="W977" s="302"/>
      <c r="X977" s="302"/>
      <c r="Y977" s="302"/>
      <c r="Z977" s="302"/>
      <c r="AA977" s="302"/>
    </row>
    <row r="978" spans="1:27" ht="16" x14ac:dyDescent="0.2">
      <c r="A978" s="302"/>
      <c r="B978" s="302"/>
      <c r="C978" s="302"/>
      <c r="D978" s="302"/>
      <c r="E978" s="302"/>
      <c r="F978" s="302"/>
      <c r="G978" s="302"/>
      <c r="H978" s="302"/>
      <c r="I978" s="302"/>
      <c r="J978" s="302"/>
      <c r="K978" s="302"/>
      <c r="L978" s="302"/>
      <c r="M978" s="302"/>
      <c r="N978" s="302"/>
      <c r="O978" s="302"/>
      <c r="P978" s="302"/>
      <c r="Q978" s="302"/>
      <c r="R978" s="302"/>
      <c r="S978" s="302"/>
      <c r="T978" s="413"/>
      <c r="U978" s="302"/>
      <c r="V978" s="302"/>
      <c r="W978" s="302"/>
      <c r="X978" s="302"/>
      <c r="Y978" s="302"/>
      <c r="Z978" s="302"/>
      <c r="AA978" s="302"/>
    </row>
    <row r="979" spans="1:27" ht="16" x14ac:dyDescent="0.2">
      <c r="A979" s="302"/>
      <c r="B979" s="302"/>
      <c r="C979" s="302"/>
      <c r="D979" s="302"/>
      <c r="E979" s="302"/>
      <c r="F979" s="302"/>
      <c r="G979" s="302"/>
      <c r="H979" s="302"/>
      <c r="I979" s="302"/>
      <c r="J979" s="302"/>
      <c r="K979" s="302"/>
      <c r="L979" s="302"/>
      <c r="M979" s="302"/>
      <c r="N979" s="302"/>
      <c r="O979" s="302"/>
      <c r="P979" s="302"/>
      <c r="Q979" s="302"/>
      <c r="R979" s="302"/>
      <c r="S979" s="302"/>
      <c r="T979" s="413"/>
      <c r="U979" s="302"/>
      <c r="V979" s="302"/>
      <c r="W979" s="302"/>
      <c r="X979" s="302"/>
      <c r="Y979" s="302"/>
      <c r="Z979" s="302"/>
      <c r="AA979" s="302"/>
    </row>
    <row r="980" spans="1:27" ht="16" x14ac:dyDescent="0.2">
      <c r="A980" s="302"/>
      <c r="B980" s="302"/>
      <c r="C980" s="302"/>
      <c r="D980" s="302"/>
      <c r="E980" s="302"/>
      <c r="F980" s="302"/>
      <c r="G980" s="302"/>
      <c r="H980" s="302"/>
      <c r="I980" s="302"/>
      <c r="J980" s="302"/>
      <c r="K980" s="302"/>
      <c r="L980" s="302"/>
      <c r="M980" s="302"/>
      <c r="N980" s="302"/>
      <c r="O980" s="302"/>
      <c r="P980" s="302"/>
      <c r="Q980" s="302"/>
      <c r="R980" s="302"/>
      <c r="S980" s="302"/>
      <c r="T980" s="413"/>
      <c r="U980" s="302"/>
      <c r="V980" s="302"/>
      <c r="W980" s="302"/>
      <c r="X980" s="302"/>
      <c r="Y980" s="302"/>
      <c r="Z980" s="302"/>
      <c r="AA980" s="302"/>
    </row>
    <row r="981" spans="1:27" ht="16" x14ac:dyDescent="0.2">
      <c r="A981" s="302"/>
      <c r="B981" s="302"/>
      <c r="C981" s="302"/>
      <c r="D981" s="302"/>
      <c r="E981" s="302"/>
      <c r="F981" s="302"/>
      <c r="G981" s="302"/>
      <c r="H981" s="302"/>
      <c r="I981" s="302"/>
      <c r="J981" s="302"/>
      <c r="K981" s="302"/>
      <c r="L981" s="302"/>
      <c r="M981" s="302"/>
      <c r="N981" s="302"/>
      <c r="O981" s="302"/>
      <c r="P981" s="302"/>
      <c r="Q981" s="302"/>
      <c r="R981" s="302"/>
      <c r="S981" s="302"/>
      <c r="T981" s="413"/>
      <c r="U981" s="302"/>
      <c r="V981" s="302"/>
      <c r="W981" s="302"/>
      <c r="X981" s="302"/>
      <c r="Y981" s="302"/>
      <c r="Z981" s="302"/>
      <c r="AA981" s="302"/>
    </row>
    <row r="982" spans="1:27" ht="16" x14ac:dyDescent="0.2">
      <c r="A982" s="302"/>
      <c r="B982" s="302"/>
      <c r="C982" s="302"/>
      <c r="D982" s="302"/>
      <c r="E982" s="302"/>
      <c r="F982" s="302"/>
      <c r="G982" s="302"/>
      <c r="H982" s="302"/>
      <c r="I982" s="302"/>
      <c r="J982" s="302"/>
      <c r="K982" s="302"/>
      <c r="L982" s="302"/>
      <c r="M982" s="302"/>
      <c r="N982" s="302"/>
      <c r="O982" s="302"/>
      <c r="P982" s="302"/>
      <c r="Q982" s="302"/>
      <c r="R982" s="302"/>
      <c r="S982" s="302"/>
      <c r="T982" s="413"/>
      <c r="U982" s="302"/>
      <c r="V982" s="302"/>
      <c r="W982" s="302"/>
      <c r="X982" s="302"/>
      <c r="Y982" s="302"/>
      <c r="Z982" s="302"/>
      <c r="AA982" s="302"/>
    </row>
    <row r="983" spans="1:27" ht="16" x14ac:dyDescent="0.2">
      <c r="A983" s="302"/>
      <c r="B983" s="302"/>
      <c r="C983" s="302"/>
      <c r="D983" s="302"/>
      <c r="E983" s="302"/>
      <c r="F983" s="302"/>
      <c r="G983" s="302"/>
      <c r="H983" s="302"/>
      <c r="I983" s="302"/>
      <c r="J983" s="302"/>
      <c r="K983" s="302"/>
      <c r="L983" s="302"/>
      <c r="M983" s="302"/>
      <c r="N983" s="302"/>
      <c r="O983" s="302"/>
      <c r="P983" s="302"/>
      <c r="Q983" s="302"/>
      <c r="R983" s="302"/>
      <c r="S983" s="302"/>
      <c r="T983" s="413"/>
      <c r="U983" s="302"/>
      <c r="V983" s="302"/>
      <c r="W983" s="302"/>
      <c r="X983" s="302"/>
      <c r="Y983" s="302"/>
      <c r="Z983" s="302"/>
      <c r="AA983" s="302"/>
    </row>
    <row r="984" spans="1:27" ht="16" x14ac:dyDescent="0.2">
      <c r="A984" s="302"/>
      <c r="B984" s="302"/>
      <c r="C984" s="302"/>
      <c r="D984" s="302"/>
      <c r="E984" s="302"/>
      <c r="F984" s="302"/>
      <c r="G984" s="302"/>
      <c r="H984" s="302"/>
      <c r="I984" s="302"/>
      <c r="J984" s="302"/>
      <c r="K984" s="302"/>
      <c r="L984" s="302"/>
      <c r="M984" s="302"/>
      <c r="N984" s="302"/>
      <c r="O984" s="302"/>
      <c r="P984" s="302"/>
      <c r="Q984" s="302"/>
      <c r="R984" s="302"/>
      <c r="S984" s="302"/>
      <c r="T984" s="413"/>
      <c r="U984" s="302"/>
      <c r="V984" s="302"/>
      <c r="W984" s="302"/>
      <c r="X984" s="302"/>
      <c r="Y984" s="302"/>
      <c r="Z984" s="302"/>
      <c r="AA984" s="302"/>
    </row>
    <row r="985" spans="1:27" ht="16" x14ac:dyDescent="0.2">
      <c r="A985" s="302"/>
      <c r="B985" s="302"/>
      <c r="C985" s="302"/>
      <c r="D985" s="302"/>
      <c r="E985" s="302"/>
      <c r="F985" s="302"/>
      <c r="G985" s="302"/>
      <c r="H985" s="302"/>
      <c r="I985" s="302"/>
      <c r="J985" s="302"/>
      <c r="K985" s="302"/>
      <c r="L985" s="302"/>
      <c r="M985" s="302"/>
      <c r="N985" s="302"/>
      <c r="O985" s="302"/>
      <c r="P985" s="302"/>
      <c r="Q985" s="302"/>
      <c r="R985" s="302"/>
      <c r="S985" s="302"/>
      <c r="T985" s="413"/>
      <c r="U985" s="302"/>
      <c r="V985" s="302"/>
      <c r="W985" s="302"/>
      <c r="X985" s="302"/>
      <c r="Y985" s="302"/>
      <c r="Z985" s="302"/>
      <c r="AA985" s="302"/>
    </row>
    <row r="986" spans="1:27" ht="16" x14ac:dyDescent="0.2">
      <c r="A986" s="302"/>
      <c r="B986" s="302"/>
      <c r="C986" s="302"/>
      <c r="D986" s="302"/>
      <c r="E986" s="302"/>
      <c r="F986" s="302"/>
      <c r="G986" s="302"/>
      <c r="H986" s="302"/>
      <c r="I986" s="302"/>
      <c r="J986" s="302"/>
      <c r="K986" s="302"/>
      <c r="L986" s="302"/>
      <c r="M986" s="302"/>
      <c r="N986" s="302"/>
      <c r="O986" s="302"/>
      <c r="P986" s="302"/>
      <c r="Q986" s="302"/>
      <c r="R986" s="302"/>
      <c r="S986" s="302"/>
      <c r="T986" s="413"/>
      <c r="U986" s="302"/>
      <c r="V986" s="302"/>
      <c r="W986" s="302"/>
      <c r="X986" s="302"/>
      <c r="Y986" s="302"/>
      <c r="Z986" s="302"/>
      <c r="AA986" s="302"/>
    </row>
    <row r="987" spans="1:27" ht="16" x14ac:dyDescent="0.2">
      <c r="A987" s="302"/>
      <c r="B987" s="302"/>
      <c r="C987" s="302"/>
      <c r="D987" s="302"/>
      <c r="E987" s="302"/>
      <c r="F987" s="302"/>
      <c r="G987" s="302"/>
      <c r="H987" s="302"/>
      <c r="I987" s="302"/>
      <c r="J987" s="302"/>
      <c r="K987" s="302"/>
      <c r="L987" s="302"/>
      <c r="M987" s="302"/>
      <c r="N987" s="302"/>
      <c r="O987" s="302"/>
      <c r="P987" s="302"/>
      <c r="Q987" s="302"/>
      <c r="R987" s="302"/>
      <c r="S987" s="302"/>
      <c r="T987" s="413"/>
      <c r="U987" s="302"/>
      <c r="V987" s="302"/>
      <c r="W987" s="302"/>
      <c r="X987" s="302"/>
      <c r="Y987" s="302"/>
      <c r="Z987" s="302"/>
      <c r="AA987" s="302"/>
    </row>
    <row r="988" spans="1:27" ht="16" x14ac:dyDescent="0.2">
      <c r="A988" s="302"/>
      <c r="B988" s="302"/>
      <c r="C988" s="302"/>
      <c r="D988" s="302"/>
      <c r="E988" s="302"/>
      <c r="F988" s="302"/>
      <c r="G988" s="302"/>
      <c r="H988" s="302"/>
      <c r="I988" s="302"/>
      <c r="J988" s="302"/>
      <c r="K988" s="302"/>
      <c r="L988" s="302"/>
      <c r="M988" s="302"/>
      <c r="N988" s="302"/>
      <c r="O988" s="302"/>
      <c r="P988" s="302"/>
      <c r="Q988" s="302"/>
      <c r="R988" s="302"/>
      <c r="S988" s="302"/>
      <c r="T988" s="413"/>
      <c r="U988" s="302"/>
      <c r="V988" s="302"/>
      <c r="W988" s="302"/>
      <c r="X988" s="302"/>
      <c r="Y988" s="302"/>
      <c r="Z988" s="302"/>
      <c r="AA988" s="302"/>
    </row>
    <row r="989" spans="1:27" ht="16" x14ac:dyDescent="0.2">
      <c r="A989" s="302"/>
      <c r="B989" s="302"/>
      <c r="C989" s="302"/>
      <c r="D989" s="302"/>
      <c r="E989" s="302"/>
      <c r="F989" s="302"/>
      <c r="G989" s="302"/>
      <c r="H989" s="302"/>
      <c r="I989" s="302"/>
      <c r="J989" s="302"/>
      <c r="K989" s="302"/>
      <c r="L989" s="302"/>
      <c r="M989" s="302"/>
      <c r="N989" s="302"/>
      <c r="O989" s="302"/>
      <c r="P989" s="302"/>
      <c r="Q989" s="302"/>
      <c r="R989" s="302"/>
      <c r="S989" s="302"/>
      <c r="T989" s="413"/>
      <c r="U989" s="302"/>
      <c r="V989" s="302"/>
      <c r="W989" s="302"/>
      <c r="X989" s="302"/>
      <c r="Y989" s="302"/>
      <c r="Z989" s="302"/>
      <c r="AA989" s="302"/>
    </row>
    <row r="990" spans="1:27" ht="16" x14ac:dyDescent="0.2">
      <c r="A990" s="302"/>
      <c r="B990" s="302"/>
      <c r="C990" s="302"/>
      <c r="D990" s="302"/>
      <c r="E990" s="302"/>
      <c r="F990" s="302"/>
      <c r="G990" s="302"/>
      <c r="H990" s="302"/>
      <c r="I990" s="302"/>
      <c r="J990" s="302"/>
      <c r="K990" s="302"/>
      <c r="L990" s="302"/>
      <c r="M990" s="302"/>
      <c r="N990" s="302"/>
      <c r="O990" s="302"/>
      <c r="P990" s="302"/>
      <c r="Q990" s="302"/>
      <c r="R990" s="302"/>
      <c r="S990" s="302"/>
      <c r="T990" s="413"/>
      <c r="U990" s="302"/>
      <c r="V990" s="302"/>
      <c r="W990" s="302"/>
      <c r="X990" s="302"/>
      <c r="Y990" s="302"/>
      <c r="Z990" s="302"/>
      <c r="AA990" s="302"/>
    </row>
    <row r="991" spans="1:27" ht="16" x14ac:dyDescent="0.2">
      <c r="A991" s="302"/>
      <c r="B991" s="302"/>
      <c r="C991" s="302"/>
      <c r="D991" s="302"/>
      <c r="E991" s="302"/>
      <c r="F991" s="302"/>
      <c r="G991" s="302"/>
      <c r="H991" s="302"/>
      <c r="I991" s="302"/>
      <c r="J991" s="302"/>
      <c r="K991" s="302"/>
      <c r="L991" s="302"/>
      <c r="M991" s="302"/>
      <c r="N991" s="302"/>
      <c r="O991" s="302"/>
      <c r="P991" s="302"/>
      <c r="Q991" s="302"/>
      <c r="R991" s="302"/>
      <c r="S991" s="302"/>
      <c r="T991" s="413"/>
      <c r="U991" s="302"/>
      <c r="V991" s="302"/>
      <c r="W991" s="302"/>
      <c r="X991" s="302"/>
      <c r="Y991" s="302"/>
      <c r="Z991" s="302"/>
      <c r="AA991" s="302"/>
    </row>
    <row r="992" spans="1:27" ht="16" x14ac:dyDescent="0.2">
      <c r="A992" s="302"/>
      <c r="B992" s="302"/>
      <c r="C992" s="302"/>
      <c r="D992" s="302"/>
      <c r="E992" s="302"/>
      <c r="F992" s="302"/>
      <c r="G992" s="302"/>
      <c r="H992" s="302"/>
      <c r="I992" s="302"/>
      <c r="J992" s="302"/>
      <c r="K992" s="302"/>
      <c r="L992" s="302"/>
      <c r="M992" s="302"/>
      <c r="N992" s="302"/>
      <c r="O992" s="302"/>
      <c r="P992" s="302"/>
      <c r="Q992" s="302"/>
      <c r="R992" s="302"/>
      <c r="S992" s="302"/>
      <c r="T992" s="413"/>
      <c r="U992" s="302"/>
      <c r="V992" s="302"/>
      <c r="W992" s="302"/>
      <c r="X992" s="302"/>
      <c r="Y992" s="302"/>
      <c r="Z992" s="302"/>
      <c r="AA992" s="302"/>
    </row>
    <row r="993" spans="1:27" ht="16" x14ac:dyDescent="0.2">
      <c r="A993" s="302"/>
      <c r="B993" s="302"/>
      <c r="C993" s="302"/>
      <c r="D993" s="302"/>
      <c r="E993" s="302"/>
      <c r="F993" s="302"/>
      <c r="G993" s="302"/>
      <c r="H993" s="302"/>
      <c r="I993" s="302"/>
      <c r="J993" s="302"/>
      <c r="K993" s="302"/>
      <c r="L993" s="302"/>
      <c r="M993" s="302"/>
      <c r="N993" s="302"/>
      <c r="O993" s="302"/>
      <c r="P993" s="302"/>
      <c r="Q993" s="302"/>
      <c r="R993" s="302"/>
      <c r="S993" s="302"/>
      <c r="T993" s="413"/>
      <c r="U993" s="302"/>
      <c r="V993" s="302"/>
      <c r="W993" s="302"/>
      <c r="X993" s="302"/>
      <c r="Y993" s="302"/>
      <c r="Z993" s="302"/>
      <c r="AA993" s="302"/>
    </row>
    <row r="994" spans="1:27" ht="16" x14ac:dyDescent="0.2">
      <c r="A994" s="302"/>
      <c r="B994" s="302"/>
      <c r="C994" s="302"/>
      <c r="D994" s="302"/>
      <c r="E994" s="302"/>
      <c r="F994" s="302"/>
      <c r="G994" s="302"/>
      <c r="H994" s="302"/>
      <c r="I994" s="302"/>
      <c r="J994" s="302"/>
      <c r="K994" s="302"/>
      <c r="L994" s="302"/>
      <c r="M994" s="302"/>
      <c r="N994" s="302"/>
      <c r="O994" s="302"/>
      <c r="P994" s="302"/>
      <c r="Q994" s="302"/>
      <c r="R994" s="302"/>
      <c r="S994" s="302"/>
      <c r="T994" s="413"/>
      <c r="U994" s="302"/>
      <c r="V994" s="302"/>
      <c r="W994" s="302"/>
      <c r="X994" s="302"/>
      <c r="Y994" s="302"/>
      <c r="Z994" s="302"/>
      <c r="AA994" s="302"/>
    </row>
    <row r="995" spans="1:27" ht="16" x14ac:dyDescent="0.2">
      <c r="A995" s="302"/>
      <c r="B995" s="302"/>
      <c r="C995" s="302"/>
      <c r="D995" s="302"/>
      <c r="E995" s="302"/>
      <c r="F995" s="302"/>
      <c r="G995" s="302"/>
      <c r="H995" s="302"/>
      <c r="I995" s="302"/>
      <c r="J995" s="302"/>
      <c r="K995" s="302"/>
      <c r="L995" s="302"/>
      <c r="M995" s="302"/>
      <c r="N995" s="302"/>
      <c r="O995" s="302"/>
      <c r="P995" s="302"/>
      <c r="Q995" s="302"/>
      <c r="R995" s="302"/>
      <c r="S995" s="302"/>
      <c r="T995" s="413"/>
      <c r="U995" s="302"/>
      <c r="V995" s="302"/>
      <c r="W995" s="302"/>
      <c r="X995" s="302"/>
      <c r="Y995" s="302"/>
      <c r="Z995" s="302"/>
      <c r="AA995" s="302"/>
    </row>
    <row r="996" spans="1:27" ht="16" x14ac:dyDescent="0.2">
      <c r="A996" s="302"/>
      <c r="B996" s="302"/>
      <c r="C996" s="302"/>
      <c r="D996" s="302"/>
      <c r="E996" s="302"/>
      <c r="F996" s="302"/>
      <c r="G996" s="302"/>
      <c r="H996" s="302"/>
      <c r="I996" s="302"/>
      <c r="J996" s="302"/>
      <c r="K996" s="302"/>
      <c r="L996" s="302"/>
      <c r="M996" s="302"/>
      <c r="N996" s="302"/>
      <c r="O996" s="302"/>
      <c r="P996" s="302"/>
      <c r="Q996" s="302"/>
      <c r="R996" s="302"/>
      <c r="S996" s="302"/>
      <c r="T996" s="413"/>
      <c r="U996" s="302"/>
      <c r="V996" s="302"/>
      <c r="W996" s="302"/>
      <c r="X996" s="302"/>
      <c r="Y996" s="302"/>
      <c r="Z996" s="302"/>
      <c r="AA996" s="302"/>
    </row>
    <row r="997" spans="1:27" ht="16" x14ac:dyDescent="0.2">
      <c r="A997" s="302"/>
      <c r="B997" s="302"/>
      <c r="C997" s="302"/>
      <c r="D997" s="302"/>
      <c r="E997" s="302"/>
      <c r="F997" s="302"/>
      <c r="G997" s="302"/>
      <c r="H997" s="302"/>
      <c r="I997" s="302"/>
      <c r="J997" s="302"/>
      <c r="K997" s="302"/>
      <c r="L997" s="302"/>
      <c r="M997" s="302"/>
      <c r="N997" s="302"/>
      <c r="O997" s="302"/>
      <c r="P997" s="302"/>
      <c r="Q997" s="302"/>
      <c r="R997" s="302"/>
      <c r="S997" s="302"/>
      <c r="T997" s="413"/>
      <c r="U997" s="302"/>
      <c r="V997" s="302"/>
      <c r="W997" s="302"/>
      <c r="X997" s="302"/>
      <c r="Y997" s="302"/>
      <c r="Z997" s="302"/>
      <c r="AA997" s="302"/>
    </row>
    <row r="998" spans="1:27" ht="16" x14ac:dyDescent="0.2">
      <c r="A998" s="302"/>
      <c r="B998" s="302"/>
      <c r="C998" s="302"/>
      <c r="D998" s="302"/>
      <c r="E998" s="302"/>
      <c r="F998" s="302"/>
      <c r="G998" s="302"/>
      <c r="H998" s="302"/>
      <c r="I998" s="302"/>
      <c r="J998" s="302"/>
      <c r="K998" s="302"/>
      <c r="L998" s="302"/>
      <c r="M998" s="302"/>
      <c r="N998" s="302"/>
      <c r="O998" s="302"/>
      <c r="P998" s="302"/>
      <c r="Q998" s="302"/>
      <c r="R998" s="302"/>
      <c r="S998" s="302"/>
      <c r="T998" s="413"/>
      <c r="U998" s="302"/>
      <c r="V998" s="302"/>
      <c r="W998" s="302"/>
      <c r="X998" s="302"/>
      <c r="Y998" s="302"/>
      <c r="Z998" s="302"/>
      <c r="AA998" s="302"/>
    </row>
    <row r="999" spans="1:27" ht="16" x14ac:dyDescent="0.2">
      <c r="A999" s="302"/>
      <c r="B999" s="302"/>
      <c r="C999" s="302"/>
      <c r="D999" s="302"/>
      <c r="E999" s="302"/>
      <c r="F999" s="302"/>
      <c r="G999" s="302"/>
      <c r="H999" s="302"/>
      <c r="I999" s="302"/>
      <c r="J999" s="302"/>
      <c r="K999" s="302"/>
      <c r="L999" s="302"/>
      <c r="M999" s="302"/>
      <c r="N999" s="302"/>
      <c r="O999" s="302"/>
      <c r="P999" s="302"/>
      <c r="Q999" s="302"/>
      <c r="R999" s="302"/>
      <c r="S999" s="302"/>
      <c r="T999" s="413"/>
      <c r="U999" s="302"/>
      <c r="V999" s="302"/>
      <c r="W999" s="302"/>
      <c r="X999" s="302"/>
      <c r="Y999" s="302"/>
      <c r="Z999" s="302"/>
      <c r="AA999" s="302"/>
    </row>
    <row r="1000" spans="1:27" ht="16" x14ac:dyDescent="0.2">
      <c r="A1000" s="302"/>
      <c r="B1000" s="302"/>
      <c r="C1000" s="302"/>
      <c r="D1000" s="302"/>
      <c r="E1000" s="302"/>
      <c r="F1000" s="302"/>
      <c r="G1000" s="302"/>
      <c r="H1000" s="302"/>
      <c r="I1000" s="302"/>
      <c r="J1000" s="302"/>
      <c r="K1000" s="302"/>
      <c r="L1000" s="302"/>
      <c r="M1000" s="302"/>
      <c r="N1000" s="302"/>
      <c r="O1000" s="302"/>
      <c r="P1000" s="302"/>
      <c r="Q1000" s="302"/>
      <c r="R1000" s="302"/>
      <c r="S1000" s="302"/>
      <c r="T1000" s="413"/>
      <c r="U1000" s="302"/>
      <c r="V1000" s="302"/>
      <c r="W1000" s="302"/>
      <c r="X1000" s="302"/>
      <c r="Y1000" s="302"/>
      <c r="Z1000" s="302"/>
      <c r="AA1000" s="302"/>
    </row>
    <row r="1001" spans="1:27" ht="16" x14ac:dyDescent="0.2">
      <c r="A1001" s="302"/>
      <c r="B1001" s="302"/>
      <c r="C1001" s="302"/>
      <c r="D1001" s="302"/>
      <c r="E1001" s="302"/>
      <c r="F1001" s="302"/>
      <c r="G1001" s="302"/>
      <c r="H1001" s="302"/>
      <c r="I1001" s="302"/>
      <c r="J1001" s="302"/>
      <c r="K1001" s="302"/>
      <c r="L1001" s="302"/>
      <c r="M1001" s="302"/>
      <c r="N1001" s="302"/>
      <c r="O1001" s="302"/>
      <c r="P1001" s="302"/>
      <c r="Q1001" s="302"/>
      <c r="R1001" s="302"/>
      <c r="S1001" s="302"/>
      <c r="T1001" s="413"/>
      <c r="U1001" s="302"/>
      <c r="V1001" s="302"/>
      <c r="W1001" s="302"/>
      <c r="X1001" s="302"/>
      <c r="Y1001" s="302"/>
      <c r="Z1001" s="302"/>
      <c r="AA1001" s="302"/>
    </row>
    <row r="1002" spans="1:27" ht="16" x14ac:dyDescent="0.2">
      <c r="A1002" s="302"/>
      <c r="B1002" s="302"/>
      <c r="C1002" s="302"/>
      <c r="D1002" s="302"/>
      <c r="E1002" s="302"/>
      <c r="F1002" s="302"/>
      <c r="G1002" s="302"/>
      <c r="H1002" s="302"/>
      <c r="I1002" s="302"/>
      <c r="J1002" s="302"/>
      <c r="K1002" s="302"/>
      <c r="L1002" s="302"/>
      <c r="M1002" s="302"/>
      <c r="N1002" s="302"/>
      <c r="O1002" s="302"/>
      <c r="P1002" s="302"/>
      <c r="Q1002" s="302"/>
      <c r="R1002" s="302"/>
      <c r="S1002" s="302"/>
      <c r="T1002" s="413"/>
      <c r="U1002" s="302"/>
      <c r="V1002" s="302"/>
      <c r="W1002" s="302"/>
      <c r="X1002" s="302"/>
      <c r="Y1002" s="302"/>
      <c r="Z1002" s="302"/>
      <c r="AA1002" s="302"/>
    </row>
    <row r="1003" spans="1:27" ht="16" x14ac:dyDescent="0.2">
      <c r="A1003" s="302"/>
      <c r="B1003" s="302"/>
      <c r="C1003" s="302"/>
      <c r="D1003" s="302"/>
      <c r="E1003" s="302"/>
      <c r="F1003" s="302"/>
      <c r="G1003" s="302"/>
      <c r="H1003" s="302"/>
      <c r="I1003" s="302"/>
      <c r="J1003" s="302"/>
      <c r="K1003" s="302"/>
      <c r="L1003" s="302"/>
      <c r="M1003" s="302"/>
      <c r="N1003" s="302"/>
      <c r="O1003" s="302"/>
      <c r="P1003" s="302"/>
      <c r="Q1003" s="302"/>
      <c r="R1003" s="302"/>
      <c r="S1003" s="302"/>
      <c r="T1003" s="413"/>
      <c r="U1003" s="302"/>
      <c r="V1003" s="302"/>
      <c r="W1003" s="302"/>
      <c r="X1003" s="302"/>
      <c r="Y1003" s="302"/>
      <c r="Z1003" s="302"/>
      <c r="AA1003" s="302"/>
    </row>
    <row r="1004" spans="1:27" ht="16" x14ac:dyDescent="0.2">
      <c r="A1004" s="302"/>
      <c r="B1004" s="302"/>
      <c r="C1004" s="302"/>
      <c r="D1004" s="302"/>
      <c r="E1004" s="302"/>
      <c r="F1004" s="302"/>
      <c r="G1004" s="302"/>
      <c r="H1004" s="302"/>
      <c r="I1004" s="302"/>
      <c r="J1004" s="302"/>
      <c r="K1004" s="302"/>
      <c r="L1004" s="302"/>
      <c r="M1004" s="302"/>
      <c r="N1004" s="302"/>
      <c r="O1004" s="302"/>
      <c r="P1004" s="302"/>
      <c r="Q1004" s="302"/>
      <c r="R1004" s="302"/>
      <c r="S1004" s="302"/>
      <c r="T1004" s="413"/>
      <c r="U1004" s="302"/>
      <c r="V1004" s="302"/>
      <c r="W1004" s="302"/>
      <c r="X1004" s="302"/>
      <c r="Y1004" s="302"/>
      <c r="Z1004" s="302"/>
      <c r="AA1004" s="302"/>
    </row>
    <row r="1005" spans="1:27" ht="16" x14ac:dyDescent="0.2">
      <c r="A1005" s="302"/>
      <c r="B1005" s="302"/>
      <c r="C1005" s="302"/>
      <c r="D1005" s="302"/>
      <c r="E1005" s="302"/>
      <c r="F1005" s="302"/>
      <c r="G1005" s="302"/>
      <c r="H1005" s="302"/>
      <c r="I1005" s="302"/>
      <c r="J1005" s="302"/>
      <c r="K1005" s="302"/>
      <c r="L1005" s="302"/>
      <c r="M1005" s="302"/>
      <c r="N1005" s="302"/>
      <c r="O1005" s="302"/>
      <c r="P1005" s="302"/>
      <c r="Q1005" s="302"/>
      <c r="R1005" s="302"/>
      <c r="S1005" s="302"/>
      <c r="T1005" s="413"/>
      <c r="U1005" s="302"/>
      <c r="V1005" s="302"/>
      <c r="W1005" s="302"/>
      <c r="X1005" s="302"/>
      <c r="Y1005" s="302"/>
      <c r="Z1005" s="302"/>
      <c r="AA1005" s="302"/>
    </row>
    <row r="1006" spans="1:27" ht="16" x14ac:dyDescent="0.2">
      <c r="A1006" s="302"/>
      <c r="B1006" s="302"/>
      <c r="C1006" s="302"/>
      <c r="D1006" s="302"/>
      <c r="E1006" s="302"/>
      <c r="F1006" s="302"/>
      <c r="G1006" s="302"/>
      <c r="H1006" s="302"/>
      <c r="I1006" s="302"/>
      <c r="J1006" s="302"/>
      <c r="K1006" s="302"/>
      <c r="L1006" s="302"/>
      <c r="M1006" s="302"/>
      <c r="N1006" s="302"/>
      <c r="O1006" s="302"/>
      <c r="P1006" s="302"/>
      <c r="Q1006" s="302"/>
      <c r="R1006" s="302"/>
      <c r="S1006" s="302"/>
      <c r="T1006" s="413"/>
      <c r="U1006" s="302"/>
      <c r="V1006" s="302"/>
      <c r="W1006" s="302"/>
      <c r="X1006" s="302"/>
      <c r="Y1006" s="302"/>
      <c r="Z1006" s="302"/>
      <c r="AA1006" s="302"/>
    </row>
    <row r="1007" spans="1:27" ht="16" x14ac:dyDescent="0.2">
      <c r="A1007" s="302"/>
      <c r="B1007" s="302"/>
      <c r="C1007" s="302"/>
      <c r="D1007" s="302"/>
      <c r="E1007" s="302"/>
      <c r="F1007" s="302"/>
      <c r="G1007" s="302"/>
      <c r="H1007" s="302"/>
      <c r="I1007" s="302"/>
      <c r="J1007" s="302"/>
      <c r="K1007" s="302"/>
      <c r="L1007" s="302"/>
      <c r="M1007" s="302"/>
      <c r="N1007" s="302"/>
      <c r="O1007" s="302"/>
      <c r="P1007" s="302"/>
      <c r="Q1007" s="302"/>
      <c r="R1007" s="302"/>
      <c r="S1007" s="302"/>
      <c r="T1007" s="413"/>
      <c r="U1007" s="302"/>
      <c r="V1007" s="302"/>
      <c r="W1007" s="302"/>
      <c r="X1007" s="302"/>
      <c r="Y1007" s="302"/>
      <c r="Z1007" s="302"/>
      <c r="AA1007" s="302"/>
    </row>
    <row r="1008" spans="1:27" ht="16" x14ac:dyDescent="0.2">
      <c r="A1008" s="302"/>
      <c r="B1008" s="302"/>
      <c r="C1008" s="302"/>
      <c r="D1008" s="302"/>
      <c r="E1008" s="302"/>
      <c r="F1008" s="302"/>
      <c r="G1008" s="302"/>
      <c r="H1008" s="302"/>
      <c r="I1008" s="302"/>
      <c r="J1008" s="302"/>
      <c r="K1008" s="302"/>
      <c r="L1008" s="302"/>
      <c r="M1008" s="302"/>
      <c r="N1008" s="302"/>
      <c r="O1008" s="302"/>
      <c r="P1008" s="302"/>
      <c r="Q1008" s="302"/>
      <c r="R1008" s="302"/>
      <c r="S1008" s="302"/>
      <c r="T1008" s="413"/>
      <c r="U1008" s="302"/>
      <c r="V1008" s="302"/>
      <c r="W1008" s="302"/>
      <c r="X1008" s="302"/>
      <c r="Y1008" s="302"/>
      <c r="Z1008" s="302"/>
      <c r="AA1008" s="302"/>
    </row>
    <row r="1009" spans="1:27" ht="16" x14ac:dyDescent="0.2">
      <c r="A1009" s="302"/>
      <c r="B1009" s="302"/>
      <c r="C1009" s="302"/>
      <c r="D1009" s="302"/>
      <c r="E1009" s="302"/>
      <c r="F1009" s="302"/>
      <c r="G1009" s="302"/>
      <c r="H1009" s="302"/>
      <c r="I1009" s="302"/>
      <c r="J1009" s="302"/>
      <c r="K1009" s="302"/>
      <c r="L1009" s="302"/>
      <c r="M1009" s="302"/>
      <c r="N1009" s="302"/>
      <c r="O1009" s="302"/>
      <c r="P1009" s="302"/>
      <c r="Q1009" s="302"/>
      <c r="R1009" s="302"/>
      <c r="S1009" s="302"/>
      <c r="T1009" s="413"/>
      <c r="U1009" s="302"/>
      <c r="V1009" s="302"/>
      <c r="W1009" s="302"/>
      <c r="X1009" s="302"/>
      <c r="Y1009" s="302"/>
      <c r="Z1009" s="302"/>
      <c r="AA1009" s="302"/>
    </row>
    <row r="1010" spans="1:27" ht="16" x14ac:dyDescent="0.2">
      <c r="A1010" s="302"/>
      <c r="B1010" s="302"/>
      <c r="C1010" s="302"/>
      <c r="D1010" s="302"/>
      <c r="E1010" s="302"/>
      <c r="F1010" s="302"/>
      <c r="G1010" s="302"/>
      <c r="H1010" s="302"/>
      <c r="I1010" s="302"/>
      <c r="J1010" s="302"/>
      <c r="K1010" s="302"/>
      <c r="L1010" s="302"/>
      <c r="M1010" s="302"/>
      <c r="N1010" s="302"/>
      <c r="O1010" s="302"/>
      <c r="P1010" s="302"/>
      <c r="Q1010" s="302"/>
      <c r="R1010" s="302"/>
      <c r="S1010" s="302"/>
      <c r="T1010" s="413"/>
      <c r="U1010" s="302"/>
      <c r="V1010" s="302"/>
      <c r="W1010" s="302"/>
      <c r="X1010" s="302"/>
      <c r="Y1010" s="302"/>
      <c r="Z1010" s="302"/>
      <c r="AA1010" s="302"/>
    </row>
    <row r="1011" spans="1:27" ht="16" x14ac:dyDescent="0.2">
      <c r="A1011" s="302"/>
      <c r="B1011" s="302"/>
      <c r="C1011" s="302"/>
      <c r="D1011" s="302"/>
      <c r="E1011" s="302"/>
      <c r="F1011" s="302"/>
      <c r="G1011" s="302"/>
      <c r="H1011" s="302"/>
      <c r="I1011" s="302"/>
      <c r="J1011" s="302"/>
      <c r="K1011" s="302"/>
      <c r="L1011" s="302"/>
      <c r="M1011" s="302"/>
      <c r="N1011" s="302"/>
      <c r="O1011" s="302"/>
      <c r="P1011" s="302"/>
      <c r="Q1011" s="302"/>
      <c r="R1011" s="302"/>
      <c r="S1011" s="302"/>
      <c r="T1011" s="413"/>
      <c r="U1011" s="302"/>
      <c r="V1011" s="302"/>
      <c r="W1011" s="302"/>
      <c r="X1011" s="302"/>
      <c r="Y1011" s="302"/>
      <c r="Z1011" s="302"/>
      <c r="AA1011" s="302"/>
    </row>
    <row r="1012" spans="1:27" ht="16" x14ac:dyDescent="0.2">
      <c r="A1012" s="302"/>
      <c r="B1012" s="302"/>
      <c r="C1012" s="302"/>
      <c r="D1012" s="302"/>
      <c r="E1012" s="302"/>
      <c r="F1012" s="302"/>
      <c r="G1012" s="302"/>
      <c r="H1012" s="302"/>
      <c r="I1012" s="302"/>
      <c r="J1012" s="302"/>
      <c r="K1012" s="302"/>
      <c r="L1012" s="302"/>
      <c r="M1012" s="302"/>
      <c r="N1012" s="302"/>
      <c r="O1012" s="302"/>
      <c r="P1012" s="302"/>
      <c r="Q1012" s="302"/>
      <c r="R1012" s="302"/>
      <c r="S1012" s="302"/>
      <c r="T1012" s="413"/>
      <c r="U1012" s="302"/>
      <c r="V1012" s="302"/>
      <c r="W1012" s="302"/>
      <c r="X1012" s="302"/>
      <c r="Y1012" s="302"/>
      <c r="Z1012" s="302"/>
      <c r="AA1012" s="302"/>
    </row>
    <row r="1013" spans="1:27" ht="16" x14ac:dyDescent="0.2">
      <c r="A1013" s="302"/>
      <c r="B1013" s="302"/>
      <c r="C1013" s="302"/>
      <c r="D1013" s="302"/>
      <c r="E1013" s="302"/>
      <c r="F1013" s="302"/>
      <c r="G1013" s="302"/>
      <c r="H1013" s="302"/>
      <c r="I1013" s="302"/>
      <c r="J1013" s="302"/>
      <c r="K1013" s="302"/>
      <c r="L1013" s="302"/>
      <c r="M1013" s="302"/>
      <c r="N1013" s="302"/>
      <c r="O1013" s="302"/>
      <c r="P1013" s="302"/>
      <c r="Q1013" s="302"/>
      <c r="R1013" s="302"/>
      <c r="S1013" s="302"/>
      <c r="T1013" s="413"/>
      <c r="U1013" s="302"/>
      <c r="V1013" s="302"/>
      <c r="W1013" s="302"/>
      <c r="X1013" s="302"/>
      <c r="Y1013" s="302"/>
      <c r="Z1013" s="302"/>
      <c r="AA1013" s="302"/>
    </row>
    <row r="1014" spans="1:27" ht="16" x14ac:dyDescent="0.2">
      <c r="A1014" s="302"/>
      <c r="B1014" s="302"/>
      <c r="C1014" s="302"/>
      <c r="D1014" s="302"/>
      <c r="E1014" s="302"/>
      <c r="F1014" s="302"/>
      <c r="G1014" s="302"/>
      <c r="H1014" s="302"/>
      <c r="I1014" s="302"/>
      <c r="J1014" s="302"/>
      <c r="K1014" s="302"/>
      <c r="L1014" s="302"/>
      <c r="M1014" s="302"/>
      <c r="N1014" s="302"/>
      <c r="O1014" s="302"/>
      <c r="P1014" s="302"/>
      <c r="Q1014" s="302"/>
      <c r="R1014" s="302"/>
      <c r="S1014" s="302"/>
      <c r="T1014" s="413"/>
      <c r="U1014" s="302"/>
      <c r="V1014" s="302"/>
      <c r="W1014" s="302"/>
      <c r="X1014" s="302"/>
      <c r="Y1014" s="302"/>
      <c r="Z1014" s="302"/>
      <c r="AA1014" s="302"/>
    </row>
    <row r="1015" spans="1:27" ht="16" x14ac:dyDescent="0.2">
      <c r="A1015" s="302"/>
      <c r="B1015" s="302"/>
      <c r="C1015" s="302"/>
      <c r="D1015" s="302"/>
      <c r="E1015" s="302"/>
      <c r="F1015" s="302"/>
      <c r="G1015" s="302"/>
      <c r="H1015" s="302"/>
      <c r="I1015" s="302"/>
      <c r="J1015" s="302"/>
      <c r="K1015" s="302"/>
      <c r="L1015" s="302"/>
      <c r="M1015" s="302"/>
      <c r="N1015" s="302"/>
      <c r="O1015" s="302"/>
      <c r="P1015" s="302"/>
      <c r="Q1015" s="302"/>
      <c r="R1015" s="302"/>
      <c r="S1015" s="302"/>
      <c r="T1015" s="413"/>
      <c r="U1015" s="302"/>
      <c r="V1015" s="302"/>
      <c r="W1015" s="302"/>
      <c r="X1015" s="302"/>
      <c r="Y1015" s="302"/>
      <c r="Z1015" s="302"/>
      <c r="AA1015" s="302"/>
    </row>
    <row r="1016" spans="1:27" ht="16" x14ac:dyDescent="0.2">
      <c r="A1016" s="302"/>
      <c r="B1016" s="302"/>
      <c r="C1016" s="302"/>
      <c r="D1016" s="302"/>
      <c r="E1016" s="302"/>
      <c r="F1016" s="302"/>
      <c r="G1016" s="302"/>
      <c r="H1016" s="302"/>
      <c r="I1016" s="302"/>
      <c r="J1016" s="302"/>
      <c r="K1016" s="302"/>
      <c r="L1016" s="302"/>
      <c r="M1016" s="302"/>
      <c r="N1016" s="302"/>
      <c r="O1016" s="302"/>
      <c r="P1016" s="302"/>
      <c r="Q1016" s="302"/>
      <c r="R1016" s="302"/>
      <c r="S1016" s="302"/>
      <c r="T1016" s="413"/>
      <c r="U1016" s="302"/>
      <c r="V1016" s="302"/>
      <c r="W1016" s="302"/>
      <c r="X1016" s="302"/>
      <c r="Y1016" s="302"/>
      <c r="Z1016" s="302"/>
      <c r="AA1016" s="302"/>
    </row>
    <row r="1017" spans="1:27" ht="16" x14ac:dyDescent="0.2">
      <c r="A1017" s="302"/>
      <c r="B1017" s="302"/>
      <c r="C1017" s="302"/>
      <c r="D1017" s="302"/>
      <c r="E1017" s="302"/>
      <c r="F1017" s="302"/>
      <c r="G1017" s="302"/>
      <c r="H1017" s="302"/>
      <c r="I1017" s="302"/>
      <c r="J1017" s="302"/>
      <c r="K1017" s="302"/>
      <c r="L1017" s="302"/>
      <c r="M1017" s="302"/>
      <c r="N1017" s="302"/>
      <c r="O1017" s="302"/>
      <c r="P1017" s="302"/>
      <c r="Q1017" s="302"/>
      <c r="R1017" s="302"/>
      <c r="S1017" s="302"/>
      <c r="T1017" s="413"/>
      <c r="U1017" s="302"/>
      <c r="V1017" s="302"/>
      <c r="W1017" s="302"/>
      <c r="X1017" s="302"/>
      <c r="Y1017" s="302"/>
      <c r="Z1017" s="302"/>
      <c r="AA1017" s="302"/>
    </row>
    <row r="1018" spans="1:27" ht="16" x14ac:dyDescent="0.2">
      <c r="A1018" s="302"/>
      <c r="B1018" s="302"/>
      <c r="C1018" s="302"/>
      <c r="D1018" s="302"/>
      <c r="E1018" s="302"/>
      <c r="F1018" s="302"/>
      <c r="G1018" s="302"/>
      <c r="H1018" s="302"/>
      <c r="I1018" s="302"/>
      <c r="J1018" s="302"/>
      <c r="K1018" s="302"/>
      <c r="L1018" s="302"/>
      <c r="M1018" s="302"/>
      <c r="N1018" s="302"/>
      <c r="O1018" s="302"/>
      <c r="P1018" s="302"/>
      <c r="Q1018" s="302"/>
      <c r="R1018" s="302"/>
      <c r="S1018" s="302"/>
      <c r="T1018" s="413"/>
      <c r="U1018" s="302"/>
      <c r="V1018" s="302"/>
      <c r="W1018" s="302"/>
      <c r="X1018" s="302"/>
      <c r="Y1018" s="302"/>
      <c r="Z1018" s="302"/>
      <c r="AA1018" s="302"/>
    </row>
    <row r="1019" spans="1:27" ht="16" x14ac:dyDescent="0.2">
      <c r="A1019" s="302"/>
      <c r="B1019" s="302"/>
      <c r="C1019" s="302"/>
      <c r="D1019" s="302"/>
      <c r="E1019" s="302"/>
      <c r="F1019" s="302"/>
      <c r="G1019" s="302"/>
      <c r="H1019" s="302"/>
      <c r="I1019" s="302"/>
      <c r="J1019" s="302"/>
      <c r="K1019" s="302"/>
      <c r="L1019" s="302"/>
      <c r="M1019" s="302"/>
      <c r="N1019" s="302"/>
      <c r="O1019" s="302"/>
      <c r="P1019" s="302"/>
      <c r="Q1019" s="302"/>
      <c r="R1019" s="302"/>
      <c r="S1019" s="302"/>
      <c r="T1019" s="413"/>
      <c r="U1019" s="302"/>
      <c r="V1019" s="302"/>
      <c r="W1019" s="302"/>
      <c r="X1019" s="302"/>
      <c r="Y1019" s="302"/>
      <c r="Z1019" s="302"/>
      <c r="AA1019" s="302"/>
    </row>
    <row r="1020" spans="1:27" ht="16" x14ac:dyDescent="0.2">
      <c r="A1020" s="302"/>
      <c r="B1020" s="302"/>
      <c r="C1020" s="302"/>
      <c r="D1020" s="302"/>
      <c r="E1020" s="302"/>
      <c r="F1020" s="302"/>
      <c r="G1020" s="302"/>
      <c r="H1020" s="302"/>
      <c r="I1020" s="302"/>
      <c r="J1020" s="302"/>
      <c r="K1020" s="302"/>
      <c r="L1020" s="302"/>
      <c r="M1020" s="302"/>
      <c r="N1020" s="302"/>
      <c r="O1020" s="302"/>
      <c r="P1020" s="302"/>
      <c r="Q1020" s="302"/>
      <c r="R1020" s="302"/>
      <c r="S1020" s="302"/>
      <c r="T1020" s="413"/>
      <c r="U1020" s="302"/>
      <c r="V1020" s="302"/>
      <c r="W1020" s="302"/>
      <c r="X1020" s="302"/>
      <c r="Y1020" s="302"/>
      <c r="Z1020" s="302"/>
      <c r="AA1020" s="302"/>
    </row>
    <row r="1021" spans="1:27" ht="16" x14ac:dyDescent="0.2">
      <c r="A1021" s="302"/>
      <c r="B1021" s="302"/>
      <c r="C1021" s="302"/>
      <c r="D1021" s="302"/>
      <c r="E1021" s="302"/>
      <c r="F1021" s="302"/>
      <c r="G1021" s="302"/>
      <c r="H1021" s="302"/>
      <c r="I1021" s="302"/>
      <c r="J1021" s="302"/>
      <c r="K1021" s="302"/>
      <c r="L1021" s="302"/>
      <c r="M1021" s="302"/>
      <c r="N1021" s="302"/>
      <c r="O1021" s="302"/>
      <c r="P1021" s="302"/>
      <c r="Q1021" s="302"/>
      <c r="R1021" s="302"/>
      <c r="S1021" s="302"/>
      <c r="T1021" s="413"/>
      <c r="U1021" s="302"/>
      <c r="V1021" s="302"/>
      <c r="W1021" s="302"/>
      <c r="X1021" s="302"/>
      <c r="Y1021" s="302"/>
      <c r="Z1021" s="302"/>
      <c r="AA1021" s="302"/>
    </row>
    <row r="1022" spans="1:27" ht="16" x14ac:dyDescent="0.2">
      <c r="A1022" s="302"/>
      <c r="B1022" s="302"/>
      <c r="C1022" s="302"/>
      <c r="D1022" s="302"/>
      <c r="E1022" s="302"/>
      <c r="F1022" s="302"/>
      <c r="G1022" s="302"/>
      <c r="H1022" s="302"/>
      <c r="I1022" s="302"/>
      <c r="J1022" s="302"/>
      <c r="K1022" s="302"/>
      <c r="L1022" s="302"/>
      <c r="M1022" s="302"/>
      <c r="N1022" s="302"/>
      <c r="O1022" s="302"/>
      <c r="P1022" s="302"/>
      <c r="Q1022" s="302"/>
      <c r="R1022" s="302"/>
      <c r="S1022" s="302"/>
      <c r="T1022" s="413"/>
      <c r="U1022" s="302"/>
      <c r="V1022" s="302"/>
      <c r="W1022" s="302"/>
      <c r="X1022" s="302"/>
      <c r="Y1022" s="302"/>
      <c r="Z1022" s="302"/>
      <c r="AA1022" s="302"/>
    </row>
    <row r="1023" spans="1:27" ht="16" x14ac:dyDescent="0.2">
      <c r="A1023" s="302"/>
      <c r="B1023" s="302"/>
      <c r="C1023" s="302"/>
      <c r="D1023" s="302"/>
      <c r="E1023" s="302"/>
      <c r="F1023" s="302"/>
      <c r="G1023" s="302"/>
      <c r="H1023" s="302"/>
      <c r="I1023" s="302"/>
      <c r="J1023" s="302"/>
      <c r="K1023" s="302"/>
      <c r="L1023" s="302"/>
      <c r="M1023" s="302"/>
      <c r="N1023" s="302"/>
      <c r="O1023" s="302"/>
      <c r="P1023" s="302"/>
      <c r="Q1023" s="302"/>
      <c r="R1023" s="302"/>
      <c r="S1023" s="302"/>
      <c r="T1023" s="413"/>
      <c r="U1023" s="302"/>
      <c r="V1023" s="302"/>
      <c r="W1023" s="302"/>
      <c r="X1023" s="302"/>
      <c r="Y1023" s="302"/>
      <c r="Z1023" s="302"/>
      <c r="AA1023" s="302"/>
    </row>
    <row r="1024" spans="1:27" ht="16" x14ac:dyDescent="0.2">
      <c r="A1024" s="302"/>
      <c r="B1024" s="302"/>
      <c r="C1024" s="302"/>
      <c r="D1024" s="302"/>
      <c r="E1024" s="302"/>
      <c r="F1024" s="302"/>
      <c r="G1024" s="302"/>
      <c r="H1024" s="302"/>
      <c r="I1024" s="302"/>
      <c r="J1024" s="302"/>
      <c r="K1024" s="302"/>
      <c r="L1024" s="302"/>
      <c r="M1024" s="302"/>
      <c r="N1024" s="302"/>
      <c r="O1024" s="302"/>
      <c r="P1024" s="302"/>
      <c r="Q1024" s="302"/>
      <c r="R1024" s="302"/>
      <c r="S1024" s="302"/>
      <c r="T1024" s="413"/>
      <c r="U1024" s="302"/>
      <c r="V1024" s="302"/>
      <c r="W1024" s="302"/>
      <c r="X1024" s="302"/>
      <c r="Y1024" s="302"/>
      <c r="Z1024" s="302"/>
      <c r="AA1024" s="302"/>
    </row>
    <row r="1025" spans="1:27" ht="16" x14ac:dyDescent="0.2">
      <c r="A1025" s="302"/>
      <c r="B1025" s="302"/>
      <c r="C1025" s="302"/>
      <c r="D1025" s="302"/>
      <c r="E1025" s="302"/>
      <c r="F1025" s="302"/>
      <c r="G1025" s="302"/>
      <c r="H1025" s="302"/>
      <c r="I1025" s="302"/>
      <c r="J1025" s="302"/>
      <c r="K1025" s="302"/>
      <c r="L1025" s="302"/>
      <c r="M1025" s="302"/>
      <c r="N1025" s="302"/>
      <c r="O1025" s="302"/>
      <c r="P1025" s="302"/>
      <c r="Q1025" s="302"/>
      <c r="R1025" s="302"/>
      <c r="S1025" s="302"/>
      <c r="T1025" s="413"/>
      <c r="U1025" s="302"/>
      <c r="V1025" s="302"/>
      <c r="W1025" s="302"/>
      <c r="X1025" s="302"/>
      <c r="Y1025" s="302"/>
      <c r="Z1025" s="302"/>
      <c r="AA1025" s="302"/>
    </row>
    <row r="1026" spans="1:27" ht="16" x14ac:dyDescent="0.2">
      <c r="A1026" s="302"/>
      <c r="B1026" s="302"/>
      <c r="C1026" s="302"/>
      <c r="D1026" s="302"/>
      <c r="E1026" s="302"/>
      <c r="F1026" s="302"/>
      <c r="G1026" s="302"/>
      <c r="H1026" s="302"/>
      <c r="I1026" s="302"/>
      <c r="J1026" s="302"/>
      <c r="K1026" s="302"/>
      <c r="L1026" s="302"/>
      <c r="M1026" s="302"/>
      <c r="N1026" s="302"/>
      <c r="O1026" s="302"/>
      <c r="P1026" s="302"/>
      <c r="Q1026" s="302"/>
      <c r="R1026" s="302"/>
      <c r="S1026" s="302"/>
      <c r="T1026" s="413"/>
      <c r="U1026" s="302"/>
      <c r="V1026" s="302"/>
      <c r="W1026" s="302"/>
      <c r="X1026" s="302"/>
      <c r="Y1026" s="302"/>
      <c r="Z1026" s="302"/>
      <c r="AA1026" s="302"/>
    </row>
    <row r="1027" spans="1:27" ht="16" x14ac:dyDescent="0.2">
      <c r="A1027" s="302"/>
      <c r="B1027" s="302"/>
      <c r="C1027" s="302"/>
      <c r="D1027" s="302"/>
      <c r="E1027" s="302"/>
      <c r="F1027" s="302"/>
      <c r="G1027" s="302"/>
      <c r="H1027" s="302"/>
      <c r="I1027" s="302"/>
      <c r="J1027" s="302"/>
      <c r="K1027" s="302"/>
      <c r="L1027" s="302"/>
      <c r="M1027" s="302"/>
      <c r="N1027" s="302"/>
      <c r="O1027" s="302"/>
      <c r="P1027" s="302"/>
      <c r="Q1027" s="302"/>
      <c r="R1027" s="302"/>
      <c r="S1027" s="302"/>
      <c r="T1027" s="413"/>
      <c r="U1027" s="302"/>
      <c r="V1027" s="302"/>
      <c r="W1027" s="302"/>
      <c r="X1027" s="302"/>
      <c r="Y1027" s="302"/>
      <c r="Z1027" s="302"/>
      <c r="AA1027" s="302"/>
    </row>
    <row r="1028" spans="1:27" ht="16" x14ac:dyDescent="0.2">
      <c r="A1028" s="302"/>
      <c r="B1028" s="302"/>
      <c r="C1028" s="302"/>
      <c r="D1028" s="302"/>
      <c r="E1028" s="302"/>
      <c r="F1028" s="302"/>
      <c r="G1028" s="302"/>
      <c r="H1028" s="302"/>
      <c r="I1028" s="302"/>
      <c r="J1028" s="302"/>
      <c r="K1028" s="302"/>
      <c r="L1028" s="302"/>
      <c r="M1028" s="302"/>
      <c r="N1028" s="302"/>
      <c r="O1028" s="302"/>
      <c r="P1028" s="302"/>
      <c r="Q1028" s="302"/>
      <c r="R1028" s="302"/>
      <c r="S1028" s="302"/>
      <c r="T1028" s="413"/>
      <c r="U1028" s="302"/>
      <c r="V1028" s="302"/>
      <c r="W1028" s="302"/>
      <c r="X1028" s="302"/>
      <c r="Y1028" s="302"/>
      <c r="Z1028" s="302"/>
      <c r="AA1028" s="302"/>
    </row>
    <row r="1029" spans="1:27" ht="15.75" customHeight="1" x14ac:dyDescent="0.2">
      <c r="A1029" s="302"/>
      <c r="B1029" s="302"/>
      <c r="C1029" s="302"/>
      <c r="D1029" s="302"/>
      <c r="E1029" s="302"/>
      <c r="F1029" s="302"/>
      <c r="G1029" s="302"/>
      <c r="H1029" s="302"/>
      <c r="I1029" s="302"/>
      <c r="J1029" s="302"/>
      <c r="K1029" s="302"/>
      <c r="L1029" s="302"/>
      <c r="M1029" s="302"/>
      <c r="N1029" s="302"/>
      <c r="O1029" s="302"/>
      <c r="P1029" s="302"/>
      <c r="Q1029" s="302"/>
      <c r="R1029" s="302"/>
      <c r="S1029" s="302"/>
      <c r="T1029" s="413"/>
      <c r="U1029" s="302"/>
      <c r="V1029" s="302"/>
      <c r="W1029" s="302"/>
      <c r="X1029" s="302"/>
      <c r="Y1029" s="302"/>
      <c r="Z1029" s="302"/>
      <c r="AA1029" s="302"/>
    </row>
    <row r="1030" spans="1:27" ht="15.75" customHeight="1" x14ac:dyDescent="0.2">
      <c r="A1030" s="302"/>
      <c r="B1030" s="302"/>
      <c r="C1030" s="302"/>
      <c r="D1030" s="302"/>
      <c r="E1030" s="302"/>
      <c r="F1030" s="302"/>
      <c r="G1030" s="302"/>
      <c r="H1030" s="302"/>
      <c r="I1030" s="302"/>
      <c r="J1030" s="302"/>
      <c r="K1030" s="302"/>
      <c r="L1030" s="302"/>
      <c r="M1030" s="302"/>
      <c r="N1030" s="302"/>
      <c r="O1030" s="302"/>
      <c r="P1030" s="302"/>
      <c r="Q1030" s="302"/>
      <c r="R1030" s="302"/>
      <c r="S1030" s="302"/>
      <c r="V1030" s="302"/>
      <c r="W1030" s="302"/>
      <c r="X1030" s="302"/>
      <c r="Y1030" s="302"/>
      <c r="Z1030" s="302"/>
      <c r="AA1030" s="302"/>
    </row>
    <row r="1031" spans="1:27" ht="15.75" customHeight="1" x14ac:dyDescent="0.2">
      <c r="A1031" s="302"/>
      <c r="B1031" s="302"/>
      <c r="C1031" s="302"/>
      <c r="D1031" s="302"/>
      <c r="E1031" s="302"/>
      <c r="F1031" s="302"/>
      <c r="G1031" s="302"/>
      <c r="H1031" s="302"/>
      <c r="I1031" s="302"/>
      <c r="J1031" s="302"/>
      <c r="K1031" s="302"/>
      <c r="L1031" s="302"/>
      <c r="M1031" s="302"/>
      <c r="N1031" s="302"/>
      <c r="O1031" s="302"/>
      <c r="P1031" s="302"/>
      <c r="Q1031" s="302"/>
      <c r="R1031" s="302"/>
      <c r="S1031" s="302"/>
      <c r="V1031" s="302"/>
      <c r="W1031" s="302"/>
      <c r="X1031" s="302"/>
      <c r="Y1031" s="302"/>
      <c r="Z1031" s="302"/>
      <c r="AA1031" s="302"/>
    </row>
    <row r="1032" spans="1:27" ht="15.75" customHeight="1" x14ac:dyDescent="0.2">
      <c r="B1032" s="302"/>
      <c r="C1032" s="302"/>
      <c r="D1032" s="302"/>
      <c r="E1032" s="302"/>
      <c r="F1032" s="302"/>
      <c r="G1032" s="302"/>
      <c r="H1032" s="302"/>
      <c r="I1032" s="302"/>
      <c r="J1032" s="302"/>
      <c r="K1032" s="302"/>
      <c r="L1032" s="302"/>
      <c r="M1032" s="302"/>
      <c r="N1032" s="302"/>
      <c r="O1032" s="302"/>
      <c r="P1032" s="302"/>
      <c r="Q1032" s="302"/>
      <c r="R1032" s="302"/>
    </row>
  </sheetData>
  <phoneticPr fontId="59" type="noConversion"/>
  <conditionalFormatting sqref="B5:U5">
    <cfRule type="notContainsBlanks" dxfId="53" priority="5">
      <formula>LEN(TRIM(B5))&gt;0</formula>
    </cfRule>
  </conditionalFormatting>
  <conditionalFormatting sqref="C53:R53">
    <cfRule type="notContainsBlanks" dxfId="52" priority="4">
      <formula>LEN(TRIM(C53))&gt;0</formula>
    </cfRule>
  </conditionalFormatting>
  <conditionalFormatting sqref="V5:AL5">
    <cfRule type="notContainsBlanks" dxfId="51" priority="3">
      <formula>LEN(TRIM(V5))&gt;0</formula>
    </cfRule>
  </conditionalFormatting>
  <conditionalFormatting sqref="W53:AL53">
    <cfRule type="notContainsBlanks" dxfId="50" priority="2">
      <formula>LEN(TRIM(W53))&gt;0</formula>
    </cfRule>
  </conditionalFormatting>
  <conditionalFormatting sqref="C104:R104">
    <cfRule type="notContainsBlanks" dxfId="49" priority="1">
      <formula>LEN(TRIM(C104))&gt;0</formula>
    </cfRule>
  </conditionalFormatting>
  <hyperlinks>
    <hyperlink ref="A1" location="INDEX!A1" display="Index"/>
  </hyperlinks>
  <pageMargins left="0.7" right="0.7" top="0.75" bottom="0.75" header="0.3" footer="0.3"/>
  <tableParts count="2">
    <tablePart r:id="rId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G1027"/>
  <sheetViews>
    <sheetView showGridLines="0" zoomScale="97" zoomScaleNormal="97" zoomScalePageLayoutView="97" workbookViewId="0">
      <selection sqref="A1:XFD1048576"/>
    </sheetView>
  </sheetViews>
  <sheetFormatPr baseColWidth="10" defaultColWidth="14.5" defaultRowHeight="15.75" customHeight="1" x14ac:dyDescent="0.2"/>
  <cols>
    <col min="1" max="1" width="7.83203125" style="217" customWidth="1"/>
    <col min="2" max="2" width="35.1640625" style="217" customWidth="1"/>
    <col min="3" max="3" width="17.5" style="217" customWidth="1"/>
    <col min="4" max="4" width="18.6640625" style="217" customWidth="1"/>
    <col min="5" max="6" width="22.1640625" style="217" bestFit="1" customWidth="1"/>
    <col min="7" max="7" width="16.6640625" style="217" customWidth="1"/>
    <col min="8" max="8" width="16.1640625" style="217" customWidth="1"/>
    <col min="9" max="9" width="14.1640625" style="217" customWidth="1"/>
    <col min="10" max="10" width="19.5" style="217" bestFit="1" customWidth="1"/>
    <col min="11" max="11" width="14.1640625" style="217" customWidth="1"/>
    <col min="12" max="12" width="14.6640625" style="217" customWidth="1"/>
    <col min="13" max="13" width="17.1640625" style="217" customWidth="1"/>
    <col min="14" max="14" width="20.1640625" style="217" customWidth="1"/>
    <col min="15" max="19" width="14.5" style="217"/>
    <col min="20" max="20" width="17" style="217" customWidth="1"/>
    <col min="21" max="16384" width="14.5" style="217"/>
  </cols>
  <sheetData>
    <row r="1" spans="1:33" ht="15.75" customHeight="1" thickBot="1" x14ac:dyDescent="0.25">
      <c r="A1" s="1771" t="s">
        <v>38</v>
      </c>
    </row>
    <row r="2" spans="1:33" ht="15.75" customHeight="1" thickTop="1" thickBot="1" x14ac:dyDescent="0.25">
      <c r="A2" s="1771"/>
      <c r="B2" s="1278" t="s">
        <v>1001</v>
      </c>
      <c r="C2" s="1279" t="s">
        <v>71</v>
      </c>
      <c r="D2" s="1280" t="s">
        <v>72</v>
      </c>
      <c r="E2" s="1280" t="s">
        <v>73</v>
      </c>
      <c r="F2" s="1280" t="s">
        <v>74</v>
      </c>
      <c r="G2" s="1281" t="s">
        <v>75</v>
      </c>
    </row>
    <row r="3" spans="1:33" ht="15.75" customHeight="1" x14ac:dyDescent="0.2">
      <c r="A3" s="1771"/>
      <c r="B3" s="1282" t="s">
        <v>1002</v>
      </c>
      <c r="C3" s="59">
        <v>8060000</v>
      </c>
      <c r="D3" s="60">
        <v>8288285.9355566287</v>
      </c>
      <c r="E3" s="60">
        <v>8519099.4789626393</v>
      </c>
      <c r="F3" s="60">
        <v>8744113.0776918661</v>
      </c>
      <c r="G3" s="1283">
        <v>8958888.0618449114</v>
      </c>
    </row>
    <row r="4" spans="1:33" ht="15.75" customHeight="1" x14ac:dyDescent="0.2">
      <c r="A4" s="1771"/>
      <c r="B4" s="718" t="s">
        <v>1003</v>
      </c>
      <c r="C4" s="2236">
        <v>0.03</v>
      </c>
      <c r="D4" s="2236">
        <v>0.03</v>
      </c>
      <c r="E4" s="2236">
        <v>0.03</v>
      </c>
      <c r="F4" s="2236">
        <v>0.03</v>
      </c>
      <c r="G4" s="1284"/>
    </row>
    <row r="5" spans="1:33" ht="15.75" customHeight="1" x14ac:dyDescent="0.2">
      <c r="A5" s="1771"/>
      <c r="B5" s="718" t="s">
        <v>1004</v>
      </c>
      <c r="C5" s="65">
        <v>13514.064443371064</v>
      </c>
      <c r="D5" s="66">
        <v>17835.034660688045</v>
      </c>
      <c r="E5" s="66">
        <v>30559.385639652744</v>
      </c>
      <c r="F5" s="66">
        <v>47548.408177711543</v>
      </c>
      <c r="G5" s="1285"/>
    </row>
    <row r="6" spans="1:33" ht="15.75" customHeight="1" thickBot="1" x14ac:dyDescent="0.25">
      <c r="A6" s="1771"/>
      <c r="B6" s="1286" t="s">
        <v>1005</v>
      </c>
      <c r="C6" s="70">
        <v>8288285.9355566287</v>
      </c>
      <c r="D6" s="70">
        <v>8519099.4789626393</v>
      </c>
      <c r="E6" s="70">
        <v>8744113.0776918661</v>
      </c>
      <c r="F6" s="70">
        <v>8958888.0618449114</v>
      </c>
      <c r="G6" s="1287"/>
    </row>
    <row r="7" spans="1:33" ht="15.75" customHeight="1" thickTop="1" x14ac:dyDescent="0.2">
      <c r="A7" s="1771"/>
      <c r="B7" s="1288" t="s">
        <v>1006</v>
      </c>
      <c r="C7" s="73">
        <v>12020000</v>
      </c>
      <c r="D7" s="74">
        <v>12336998.865877114</v>
      </c>
      <c r="E7" s="74">
        <v>12365192.677053036</v>
      </c>
      <c r="F7" s="74">
        <v>12348150.765320711</v>
      </c>
      <c r="G7" s="1289">
        <v>12279462.670491993</v>
      </c>
    </row>
    <row r="8" spans="1:33" ht="15.75" customHeight="1" x14ac:dyDescent="0.2">
      <c r="A8" s="1771"/>
      <c r="B8" s="718" t="s">
        <v>1003</v>
      </c>
      <c r="C8" s="64">
        <v>0.03</v>
      </c>
      <c r="D8" s="79">
        <v>7.0000000000000001E-3</v>
      </c>
      <c r="E8" s="79">
        <v>7.0000000000000001E-3</v>
      </c>
      <c r="F8" s="79">
        <v>7.0000000000000001E-3</v>
      </c>
      <c r="G8" s="1290"/>
    </row>
    <row r="9" spans="1:33" ht="15.75" customHeight="1" x14ac:dyDescent="0.2">
      <c r="A9" s="1771"/>
      <c r="B9" s="718" t="s">
        <v>1004</v>
      </c>
      <c r="C9" s="84">
        <v>43601.134122886055</v>
      </c>
      <c r="D9" s="85">
        <v>58165.180885218695</v>
      </c>
      <c r="E9" s="85">
        <v>103598.26047169608</v>
      </c>
      <c r="F9" s="85">
        <v>155125.15018596355</v>
      </c>
      <c r="G9" s="1285"/>
    </row>
    <row r="10" spans="1:33" ht="15.75" customHeight="1" thickBot="1" x14ac:dyDescent="0.25">
      <c r="A10" s="1771"/>
      <c r="B10" s="1286" t="s">
        <v>1005</v>
      </c>
      <c r="C10" s="70">
        <v>12336998.865877114</v>
      </c>
      <c r="D10" s="70">
        <v>12365192.677053036</v>
      </c>
      <c r="E10" s="70">
        <v>12348150.765320711</v>
      </c>
      <c r="F10" s="70">
        <v>12279462.670491993</v>
      </c>
      <c r="G10" s="1287"/>
    </row>
    <row r="11" spans="1:33" ht="15.75" customHeight="1" thickTop="1" thickBot="1" x14ac:dyDescent="0.25">
      <c r="A11" s="1771"/>
      <c r="B11" s="1291" t="s">
        <v>885</v>
      </c>
      <c r="C11" s="1292">
        <v>20080000</v>
      </c>
      <c r="D11" s="1293">
        <v>20625284.801433742</v>
      </c>
      <c r="E11" s="1293">
        <v>20884292.156015676</v>
      </c>
      <c r="F11" s="1293">
        <v>21092263.843012579</v>
      </c>
      <c r="G11" s="1294">
        <v>21238350.732336905</v>
      </c>
    </row>
    <row r="12" spans="1:33" ht="15.75" customHeight="1" thickTop="1" x14ac:dyDescent="0.2">
      <c r="A12" s="1771"/>
    </row>
    <row r="13" spans="1:33" s="516" customFormat="1" ht="15.75" customHeight="1" x14ac:dyDescent="0.2">
      <c r="B13" s="517" t="s">
        <v>1007</v>
      </c>
    </row>
    <row r="14" spans="1:33" ht="17" thickBot="1" x14ac:dyDescent="0.25">
      <c r="A14" s="169"/>
      <c r="C14" s="169"/>
      <c r="D14" s="169"/>
      <c r="E14" s="169"/>
      <c r="F14" s="169"/>
      <c r="G14" s="178"/>
      <c r="H14" s="178"/>
      <c r="I14" s="178"/>
      <c r="U14" s="169"/>
      <c r="V14" s="169"/>
      <c r="W14" s="169"/>
      <c r="X14" s="169"/>
    </row>
    <row r="15" spans="1:33" ht="17" thickBot="1" x14ac:dyDescent="0.25">
      <c r="A15" s="169"/>
      <c r="B15" s="235" t="s">
        <v>1008</v>
      </c>
      <c r="C15" s="171"/>
      <c r="D15" s="171"/>
      <c r="E15" s="171"/>
      <c r="F15" s="171"/>
      <c r="G15" s="178"/>
      <c r="H15" s="178"/>
      <c r="I15" s="178"/>
      <c r="U15" s="169"/>
      <c r="V15" s="169"/>
      <c r="W15" s="169"/>
      <c r="X15" s="169"/>
      <c r="Y15" s="169"/>
      <c r="Z15" s="169"/>
    </row>
    <row r="16" spans="1:33" ht="30.5" customHeight="1" thickTop="1" thickBot="1" x14ac:dyDescent="0.25">
      <c r="A16" s="169"/>
      <c r="B16" s="233" t="s">
        <v>1009</v>
      </c>
      <c r="C16" s="713" t="s">
        <v>1010</v>
      </c>
      <c r="D16" s="713" t="s">
        <v>1011</v>
      </c>
      <c r="E16" s="713" t="s">
        <v>1012</v>
      </c>
      <c r="F16" s="713" t="s">
        <v>1013</v>
      </c>
      <c r="G16" s="713" t="s">
        <v>1014</v>
      </c>
      <c r="H16" s="713" t="s">
        <v>1015</v>
      </c>
      <c r="I16" s="234" t="s">
        <v>1016</v>
      </c>
      <c r="J16" s="2317" t="s">
        <v>1017</v>
      </c>
      <c r="K16" s="2318"/>
      <c r="U16" s="169"/>
      <c r="V16" s="169"/>
      <c r="W16" s="169"/>
      <c r="X16" s="169"/>
      <c r="AD16" s="169"/>
      <c r="AE16" s="169"/>
      <c r="AF16" s="169"/>
      <c r="AG16" s="169"/>
    </row>
    <row r="17" spans="1:33" ht="32" x14ac:dyDescent="0.2">
      <c r="A17" s="169"/>
      <c r="B17" s="710" t="s">
        <v>923</v>
      </c>
      <c r="C17" s="2149">
        <v>1004</v>
      </c>
      <c r="D17" s="2149">
        <v>840</v>
      </c>
      <c r="E17" s="2150">
        <v>0</v>
      </c>
      <c r="F17" s="2150">
        <v>800</v>
      </c>
      <c r="G17" s="2150">
        <v>300</v>
      </c>
      <c r="H17" s="2150">
        <v>300</v>
      </c>
      <c r="I17" s="2145">
        <v>3244</v>
      </c>
      <c r="J17" s="236" t="s">
        <v>1018</v>
      </c>
      <c r="K17" s="2152">
        <v>454</v>
      </c>
      <c r="U17" s="173"/>
      <c r="X17" s="169"/>
      <c r="AD17" s="169"/>
      <c r="AE17" s="169"/>
      <c r="AF17" s="169"/>
      <c r="AG17" s="169"/>
    </row>
    <row r="18" spans="1:33" ht="18.75" customHeight="1" x14ac:dyDescent="0.2">
      <c r="A18" s="169"/>
      <c r="B18" s="711" t="s">
        <v>924</v>
      </c>
      <c r="C18" s="2149">
        <v>1004</v>
      </c>
      <c r="D18" s="2149">
        <v>840</v>
      </c>
      <c r="E18" s="2150">
        <v>3400</v>
      </c>
      <c r="F18" s="2150">
        <v>800</v>
      </c>
      <c r="G18" s="2150">
        <v>300</v>
      </c>
      <c r="H18" s="2150">
        <v>300</v>
      </c>
      <c r="I18" s="2145">
        <v>6644</v>
      </c>
      <c r="J18" s="237" t="s">
        <v>1019</v>
      </c>
      <c r="K18" s="2153">
        <v>200</v>
      </c>
      <c r="U18" s="173"/>
      <c r="X18" s="169"/>
      <c r="AD18" s="169"/>
      <c r="AE18" s="169"/>
      <c r="AF18" s="169"/>
      <c r="AG18" s="169"/>
    </row>
    <row r="19" spans="1:33" ht="31.5" customHeight="1" x14ac:dyDescent="0.2">
      <c r="A19" s="169"/>
      <c r="B19" s="711" t="s">
        <v>1020</v>
      </c>
      <c r="C19" s="2149">
        <v>1004</v>
      </c>
      <c r="D19" s="2149">
        <v>840</v>
      </c>
      <c r="E19" s="2150">
        <v>998.96</v>
      </c>
      <c r="F19" s="2150">
        <v>800</v>
      </c>
      <c r="G19" s="2150">
        <v>300</v>
      </c>
      <c r="H19" s="2150">
        <v>300</v>
      </c>
      <c r="I19" s="2145">
        <v>4242.96</v>
      </c>
      <c r="J19" s="237" t="s">
        <v>1021</v>
      </c>
      <c r="K19" s="2153">
        <v>350</v>
      </c>
      <c r="U19" s="169"/>
      <c r="X19" s="169"/>
      <c r="AD19" s="169"/>
      <c r="AE19" s="169"/>
      <c r="AF19" s="169"/>
      <c r="AG19" s="169"/>
    </row>
    <row r="20" spans="1:33" ht="19.5" customHeight="1" x14ac:dyDescent="0.2">
      <c r="A20" s="169"/>
      <c r="B20" s="711" t="s">
        <v>926</v>
      </c>
      <c r="C20" s="2149">
        <v>1004</v>
      </c>
      <c r="D20" s="2149">
        <v>840</v>
      </c>
      <c r="E20" s="2150">
        <v>450</v>
      </c>
      <c r="F20" s="2150">
        <v>800</v>
      </c>
      <c r="G20" s="2150">
        <v>300</v>
      </c>
      <c r="H20" s="2150">
        <v>300</v>
      </c>
      <c r="I20" s="2145">
        <v>3694</v>
      </c>
      <c r="J20" s="237" t="s">
        <v>1022</v>
      </c>
      <c r="K20" s="2153">
        <v>8</v>
      </c>
      <c r="U20" s="173"/>
      <c r="X20" s="169"/>
      <c r="AD20" s="169"/>
      <c r="AE20" s="169"/>
      <c r="AF20" s="169"/>
      <c r="AG20" s="169"/>
    </row>
    <row r="21" spans="1:33" ht="28.5" customHeight="1" x14ac:dyDescent="0.2">
      <c r="A21" s="169"/>
      <c r="B21" s="711" t="s">
        <v>1023</v>
      </c>
      <c r="C21" s="2149">
        <v>1004</v>
      </c>
      <c r="D21" s="2149">
        <v>840</v>
      </c>
      <c r="E21" s="2150">
        <v>2399</v>
      </c>
      <c r="F21" s="2150">
        <v>800</v>
      </c>
      <c r="G21" s="2150">
        <v>300</v>
      </c>
      <c r="H21" s="2150">
        <v>300</v>
      </c>
      <c r="I21" s="2145">
        <v>5643</v>
      </c>
      <c r="J21" s="237" t="s">
        <v>1024</v>
      </c>
      <c r="K21" s="2153">
        <v>2</v>
      </c>
      <c r="U21" s="169"/>
      <c r="X21" s="169"/>
      <c r="AD21" s="169"/>
      <c r="AE21" s="169"/>
      <c r="AF21" s="169"/>
      <c r="AG21" s="169"/>
    </row>
    <row r="22" spans="1:33" ht="32" x14ac:dyDescent="0.2">
      <c r="A22" s="169"/>
      <c r="B22" s="711" t="s">
        <v>980</v>
      </c>
      <c r="C22" s="2149">
        <v>1004</v>
      </c>
      <c r="D22" s="2149">
        <v>840</v>
      </c>
      <c r="E22" s="2150">
        <v>299</v>
      </c>
      <c r="F22" s="2150">
        <v>800</v>
      </c>
      <c r="G22" s="2150">
        <v>300</v>
      </c>
      <c r="H22" s="2150">
        <v>300</v>
      </c>
      <c r="I22" s="2145">
        <v>3543</v>
      </c>
      <c r="J22" s="237" t="s">
        <v>1025</v>
      </c>
      <c r="K22" s="2153">
        <v>2</v>
      </c>
      <c r="U22" s="173"/>
      <c r="X22" s="169"/>
      <c r="AD22" s="169"/>
      <c r="AE22" s="169"/>
      <c r="AF22" s="169"/>
      <c r="AG22" s="169"/>
    </row>
    <row r="23" spans="1:33" ht="17" thickBot="1" x14ac:dyDescent="0.25">
      <c r="A23" s="169"/>
      <c r="B23" s="712" t="s">
        <v>929</v>
      </c>
      <c r="C23" s="2149">
        <v>1004</v>
      </c>
      <c r="D23" s="2149">
        <v>840</v>
      </c>
      <c r="E23" s="2150">
        <v>3300</v>
      </c>
      <c r="F23" s="2150">
        <v>800</v>
      </c>
      <c r="G23" s="2150">
        <v>300</v>
      </c>
      <c r="H23" s="2150">
        <v>300</v>
      </c>
      <c r="I23" s="2146">
        <v>6544</v>
      </c>
      <c r="J23" s="237" t="s">
        <v>1026</v>
      </c>
      <c r="K23" s="2153">
        <v>20</v>
      </c>
      <c r="U23" s="173"/>
      <c r="X23" s="169"/>
      <c r="AD23" s="169"/>
      <c r="AE23" s="169"/>
      <c r="AF23" s="169"/>
      <c r="AG23" s="169"/>
    </row>
    <row r="24" spans="1:33" ht="17" thickBot="1" x14ac:dyDescent="0.25">
      <c r="A24" s="169"/>
      <c r="B24" s="178"/>
      <c r="C24" s="178"/>
      <c r="D24" s="178"/>
      <c r="E24" s="178"/>
      <c r="F24" s="178"/>
      <c r="G24" s="178"/>
      <c r="H24" s="239" t="s">
        <v>579</v>
      </c>
      <c r="I24" s="2147">
        <v>33554.959999999999</v>
      </c>
      <c r="J24" s="238" t="s">
        <v>1027</v>
      </c>
      <c r="K24" s="2154">
        <v>200</v>
      </c>
      <c r="L24" s="178"/>
      <c r="U24" s="173"/>
      <c r="X24" s="169"/>
      <c r="AA24" s="169"/>
      <c r="AB24" s="231"/>
      <c r="AC24" s="232"/>
      <c r="AD24" s="169"/>
      <c r="AE24" s="169"/>
      <c r="AF24" s="169"/>
      <c r="AG24" s="169"/>
    </row>
    <row r="25" spans="1:33" ht="18" thickTop="1" thickBot="1" x14ac:dyDescent="0.25">
      <c r="A25" s="169"/>
      <c r="B25" s="174"/>
      <c r="C25" s="175"/>
      <c r="D25" s="175"/>
      <c r="E25" s="176"/>
      <c r="F25" s="176"/>
      <c r="G25" s="176"/>
      <c r="H25" s="176"/>
      <c r="I25" s="177"/>
      <c r="J25" s="177"/>
      <c r="K25" s="219"/>
      <c r="L25" s="169"/>
      <c r="O25" s="169"/>
      <c r="R25" s="169"/>
      <c r="S25" s="169"/>
      <c r="T25" s="169"/>
      <c r="U25" s="169"/>
      <c r="V25" s="169"/>
      <c r="W25" s="169"/>
      <c r="X25" s="169"/>
    </row>
    <row r="26" spans="1:33" ht="17" thickTop="1" x14ac:dyDescent="0.2">
      <c r="A26" s="169"/>
      <c r="B26" s="2326" t="s">
        <v>1028</v>
      </c>
      <c r="C26" s="2319" t="s">
        <v>71</v>
      </c>
      <c r="D26" s="2320"/>
      <c r="E26" s="2319" t="s">
        <v>72</v>
      </c>
      <c r="F26" s="2320"/>
      <c r="G26" s="2319" t="s">
        <v>73</v>
      </c>
      <c r="H26" s="2320"/>
      <c r="I26" s="2319" t="s">
        <v>74</v>
      </c>
      <c r="J26" s="2320"/>
      <c r="K26" s="2319" t="s">
        <v>75</v>
      </c>
      <c r="L26" s="2321"/>
      <c r="O26" s="169"/>
      <c r="R26" s="169"/>
      <c r="S26" s="169"/>
      <c r="T26" s="169"/>
      <c r="U26" s="169"/>
      <c r="V26" s="169"/>
      <c r="W26" s="169"/>
      <c r="X26" s="169"/>
    </row>
    <row r="27" spans="1:33" s="178" customFormat="1" ht="16" x14ac:dyDescent="0.2">
      <c r="B27" s="2327"/>
      <c r="C27" s="547" t="s">
        <v>792</v>
      </c>
      <c r="D27" s="221" t="s">
        <v>1029</v>
      </c>
      <c r="E27" s="547" t="s">
        <v>792</v>
      </c>
      <c r="F27" s="221" t="s">
        <v>1029</v>
      </c>
      <c r="G27" s="547" t="s">
        <v>792</v>
      </c>
      <c r="H27" s="221" t="s">
        <v>1029</v>
      </c>
      <c r="I27" s="547" t="s">
        <v>792</v>
      </c>
      <c r="J27" s="221" t="s">
        <v>1029</v>
      </c>
      <c r="K27" s="547" t="s">
        <v>792</v>
      </c>
      <c r="L27" s="222" t="s">
        <v>1029</v>
      </c>
    </row>
    <row r="28" spans="1:33" s="178" customFormat="1" ht="16" x14ac:dyDescent="0.2">
      <c r="B28" s="227" t="s">
        <v>1030</v>
      </c>
      <c r="C28" s="548">
        <v>8060000</v>
      </c>
      <c r="D28" s="288">
        <v>12020000</v>
      </c>
      <c r="E28" s="548">
        <v>8288285.9355566287</v>
      </c>
      <c r="F28" s="288">
        <v>12336998.865877114</v>
      </c>
      <c r="G28" s="548">
        <v>8519099.4789626393</v>
      </c>
      <c r="H28" s="288">
        <v>12365192.677053036</v>
      </c>
      <c r="I28" s="548">
        <v>8744113.0776918661</v>
      </c>
      <c r="J28" s="288">
        <v>12348150.765320711</v>
      </c>
      <c r="K28" s="548">
        <v>8958888.0618449114</v>
      </c>
      <c r="L28" s="289">
        <v>12279462.670491993</v>
      </c>
    </row>
    <row r="29" spans="1:33" s="178" customFormat="1" ht="16" x14ac:dyDescent="0.2">
      <c r="B29" s="228" t="s">
        <v>1031</v>
      </c>
      <c r="C29" s="549">
        <v>8.0000000000000004E-4</v>
      </c>
      <c r="D29" s="489">
        <v>5.9999999999999995E-4</v>
      </c>
      <c r="E29" s="549">
        <v>8.0000000000000004E-4</v>
      </c>
      <c r="F29" s="489">
        <v>5.9999999999999995E-4</v>
      </c>
      <c r="G29" s="549">
        <v>8.0000000000000004E-4</v>
      </c>
      <c r="H29" s="489">
        <v>5.9999999999999995E-4</v>
      </c>
      <c r="I29" s="549">
        <v>8.0000000000000004E-4</v>
      </c>
      <c r="J29" s="489">
        <v>5.9999999999999995E-4</v>
      </c>
      <c r="K29" s="549">
        <v>8.0000000000000004E-4</v>
      </c>
      <c r="L29" s="490">
        <v>5.9999999999999995E-4</v>
      </c>
    </row>
    <row r="30" spans="1:33" s="178" customFormat="1" ht="32" x14ac:dyDescent="0.2">
      <c r="B30" s="223" t="s">
        <v>923</v>
      </c>
      <c r="C30" s="550">
        <v>2.5952000000000002E-3</v>
      </c>
      <c r="D30" s="220">
        <v>1.9463999999999998E-3</v>
      </c>
      <c r="E30" s="550">
        <v>2.5952000000000002E-3</v>
      </c>
      <c r="F30" s="220">
        <v>1.9463999999999998E-3</v>
      </c>
      <c r="G30" s="550">
        <v>2.5952000000000002E-3</v>
      </c>
      <c r="H30" s="220">
        <v>1.9463999999999998E-3</v>
      </c>
      <c r="I30" s="550">
        <v>2.5952000000000002E-3</v>
      </c>
      <c r="J30" s="220">
        <v>1.9463999999999998E-3</v>
      </c>
      <c r="K30" s="550">
        <v>2.5952000000000002E-3</v>
      </c>
      <c r="L30" s="285">
        <v>1.9463999999999998E-3</v>
      </c>
    </row>
    <row r="31" spans="1:33" s="178" customFormat="1" ht="18" customHeight="1" x14ac:dyDescent="0.2">
      <c r="B31" s="224" t="s">
        <v>924</v>
      </c>
      <c r="C31" s="550">
        <v>5.3152E-3</v>
      </c>
      <c r="D31" s="220">
        <v>3.9863999999999993E-3</v>
      </c>
      <c r="E31" s="550">
        <v>5.3152E-3</v>
      </c>
      <c r="F31" s="220">
        <v>3.9863999999999993E-3</v>
      </c>
      <c r="G31" s="550">
        <v>5.3152E-3</v>
      </c>
      <c r="H31" s="220">
        <v>3.9863999999999993E-3</v>
      </c>
      <c r="I31" s="550">
        <v>5.3152E-3</v>
      </c>
      <c r="J31" s="220">
        <v>3.9863999999999993E-3</v>
      </c>
      <c r="K31" s="550">
        <v>5.3152E-3</v>
      </c>
      <c r="L31" s="285">
        <v>3.9863999999999993E-3</v>
      </c>
    </row>
    <row r="32" spans="1:33" s="178" customFormat="1" ht="32" x14ac:dyDescent="0.2">
      <c r="B32" s="224" t="s">
        <v>925</v>
      </c>
      <c r="C32" s="550">
        <v>3.394368E-3</v>
      </c>
      <c r="D32" s="220">
        <v>2.5457759999999996E-3</v>
      </c>
      <c r="E32" s="550">
        <v>3.394368E-3</v>
      </c>
      <c r="F32" s="220">
        <v>2.5457759999999996E-3</v>
      </c>
      <c r="G32" s="550">
        <v>3.394368E-3</v>
      </c>
      <c r="H32" s="220">
        <v>2.5457759999999996E-3</v>
      </c>
      <c r="I32" s="550">
        <v>3.394368E-3</v>
      </c>
      <c r="J32" s="220">
        <v>2.5457759999999996E-3</v>
      </c>
      <c r="K32" s="550">
        <v>3.394368E-3</v>
      </c>
      <c r="L32" s="285">
        <v>2.5457759999999996E-3</v>
      </c>
    </row>
    <row r="33" spans="1:24" s="178" customFormat="1" ht="16" x14ac:dyDescent="0.2">
      <c r="B33" s="224" t="s">
        <v>926</v>
      </c>
      <c r="C33" s="550">
        <v>2.9551999999999998E-3</v>
      </c>
      <c r="D33" s="220">
        <v>2.2163999999999999E-3</v>
      </c>
      <c r="E33" s="550">
        <v>2.9551999999999998E-3</v>
      </c>
      <c r="F33" s="220">
        <v>2.2163999999999999E-3</v>
      </c>
      <c r="G33" s="550">
        <v>2.9551999999999998E-3</v>
      </c>
      <c r="H33" s="220">
        <v>2.2163999999999999E-3</v>
      </c>
      <c r="I33" s="550">
        <v>2.9551999999999998E-3</v>
      </c>
      <c r="J33" s="220">
        <v>2.2163999999999999E-3</v>
      </c>
      <c r="K33" s="550">
        <v>2.9551999999999998E-3</v>
      </c>
      <c r="L33" s="285">
        <v>2.2163999999999999E-3</v>
      </c>
    </row>
    <row r="34" spans="1:24" s="178" customFormat="1" ht="32" x14ac:dyDescent="0.2">
      <c r="B34" s="224" t="s">
        <v>927</v>
      </c>
      <c r="C34" s="550">
        <v>4.5144E-3</v>
      </c>
      <c r="D34" s="220">
        <v>3.3857999999999996E-3</v>
      </c>
      <c r="E34" s="550">
        <v>4.5144E-3</v>
      </c>
      <c r="F34" s="220">
        <v>3.3857999999999996E-3</v>
      </c>
      <c r="G34" s="550">
        <v>4.5144E-3</v>
      </c>
      <c r="H34" s="220">
        <v>3.3857999999999996E-3</v>
      </c>
      <c r="I34" s="550">
        <v>4.5144E-3</v>
      </c>
      <c r="J34" s="220">
        <v>3.3857999999999996E-3</v>
      </c>
      <c r="K34" s="550">
        <v>4.5144E-3</v>
      </c>
      <c r="L34" s="285">
        <v>3.3857999999999996E-3</v>
      </c>
    </row>
    <row r="35" spans="1:24" s="178" customFormat="1" ht="32" x14ac:dyDescent="0.2">
      <c r="B35" s="224" t="s">
        <v>980</v>
      </c>
      <c r="C35" s="550">
        <v>2.8343999999999999E-3</v>
      </c>
      <c r="D35" s="220">
        <v>2.1257999999999997E-3</v>
      </c>
      <c r="E35" s="550">
        <v>2.8343999999999999E-3</v>
      </c>
      <c r="F35" s="220">
        <v>2.1257999999999997E-3</v>
      </c>
      <c r="G35" s="550">
        <v>2.8343999999999999E-3</v>
      </c>
      <c r="H35" s="220">
        <v>2.1257999999999997E-3</v>
      </c>
      <c r="I35" s="550">
        <v>2.8343999999999999E-3</v>
      </c>
      <c r="J35" s="220">
        <v>2.1257999999999997E-3</v>
      </c>
      <c r="K35" s="550">
        <v>2.8343999999999999E-3</v>
      </c>
      <c r="L35" s="285">
        <v>2.1257999999999997E-3</v>
      </c>
    </row>
    <row r="36" spans="1:24" s="178" customFormat="1" ht="17" thickBot="1" x14ac:dyDescent="0.25">
      <c r="B36" s="225" t="s">
        <v>929</v>
      </c>
      <c r="C36" s="551">
        <v>5.2351999999999997E-3</v>
      </c>
      <c r="D36" s="286">
        <v>3.9264E-3</v>
      </c>
      <c r="E36" s="551">
        <v>5.2351999999999997E-3</v>
      </c>
      <c r="F36" s="286">
        <v>3.9264E-3</v>
      </c>
      <c r="G36" s="551">
        <v>5.2351999999999997E-3</v>
      </c>
      <c r="H36" s="286">
        <v>3.9264E-3</v>
      </c>
      <c r="I36" s="551">
        <v>5.2351999999999997E-3</v>
      </c>
      <c r="J36" s="286">
        <v>3.9264E-3</v>
      </c>
      <c r="K36" s="551">
        <v>5.2351999999999997E-3</v>
      </c>
      <c r="L36" s="287">
        <v>3.9264E-3</v>
      </c>
    </row>
    <row r="37" spans="1:24" s="283" customFormat="1" ht="18" thickTop="1" thickBot="1" x14ac:dyDescent="0.25">
      <c r="B37" s="226" t="s">
        <v>1032</v>
      </c>
      <c r="C37" s="552">
        <v>2.6843967999999999E-2</v>
      </c>
      <c r="D37" s="229">
        <v>2.0132975999999997E-2</v>
      </c>
      <c r="E37" s="552">
        <v>2.6843967999999999E-2</v>
      </c>
      <c r="F37" s="229">
        <v>2.0132975999999997E-2</v>
      </c>
      <c r="G37" s="552">
        <v>2.6843967999999999E-2</v>
      </c>
      <c r="H37" s="229">
        <v>2.0132975999999997E-2</v>
      </c>
      <c r="I37" s="552">
        <v>2.6843967999999999E-2</v>
      </c>
      <c r="J37" s="229">
        <v>2.0132975999999997E-2</v>
      </c>
      <c r="K37" s="552">
        <v>2.6843967999999999E-2</v>
      </c>
      <c r="L37" s="230">
        <v>2.0132975999999997E-2</v>
      </c>
    </row>
    <row r="38" spans="1:24" customFormat="1" ht="17" thickTop="1" x14ac:dyDescent="0.2"/>
    <row r="39" spans="1:24" s="269" customFormat="1" ht="16" x14ac:dyDescent="0.2">
      <c r="B39" s="518" t="s">
        <v>1033</v>
      </c>
    </row>
    <row r="40" spans="1:24" s="178" customFormat="1" ht="17" thickBot="1" x14ac:dyDescent="0.25">
      <c r="B40" s="218"/>
      <c r="P40" s="178" t="s">
        <v>1034</v>
      </c>
      <c r="Q40" s="698">
        <v>0.75</v>
      </c>
      <c r="R40" s="178" t="s">
        <v>1035</v>
      </c>
      <c r="S40" s="679">
        <v>0.52</v>
      </c>
      <c r="T40" s="178" t="s">
        <v>1036</v>
      </c>
      <c r="U40" s="679">
        <v>0.39</v>
      </c>
    </row>
    <row r="41" spans="1:24" ht="50" thickTop="1" thickBot="1" x14ac:dyDescent="0.25">
      <c r="A41" s="169"/>
      <c r="B41" s="242" t="s">
        <v>1033</v>
      </c>
      <c r="C41" s="257" t="s">
        <v>1037</v>
      </c>
      <c r="D41" s="258" t="s">
        <v>579</v>
      </c>
      <c r="E41" s="258" t="s">
        <v>1038</v>
      </c>
      <c r="F41" s="258" t="s">
        <v>1039</v>
      </c>
      <c r="G41" s="258" t="s">
        <v>1040</v>
      </c>
      <c r="H41" s="261" t="s">
        <v>1041</v>
      </c>
      <c r="I41" s="258" t="s">
        <v>1042</v>
      </c>
      <c r="J41" s="262" t="s">
        <v>1043</v>
      </c>
      <c r="K41" s="258" t="s">
        <v>1044</v>
      </c>
      <c r="L41" s="261" t="s">
        <v>1045</v>
      </c>
      <c r="M41" s="262" t="s">
        <v>1046</v>
      </c>
      <c r="N41" s="243" t="s">
        <v>917</v>
      </c>
      <c r="O41" s="179"/>
      <c r="P41" s="312" t="s">
        <v>1047</v>
      </c>
      <c r="Q41" s="217" t="s">
        <v>1048</v>
      </c>
      <c r="R41" s="179" t="s">
        <v>1049</v>
      </c>
      <c r="S41" s="179" t="s">
        <v>1050</v>
      </c>
      <c r="T41" s="169"/>
      <c r="U41" s="169" t="s">
        <v>1051</v>
      </c>
      <c r="V41" s="179" t="s">
        <v>1049</v>
      </c>
      <c r="W41" s="312" t="s">
        <v>1052</v>
      </c>
      <c r="X41" s="312"/>
    </row>
    <row r="42" spans="1:24" ht="16" x14ac:dyDescent="0.2">
      <c r="A42" s="169"/>
      <c r="B42" s="244" t="s">
        <v>974</v>
      </c>
      <c r="C42" s="259" t="s">
        <v>1053</v>
      </c>
      <c r="D42" s="2167">
        <v>63620</v>
      </c>
      <c r="E42" s="2168">
        <v>1</v>
      </c>
      <c r="F42" s="2168">
        <v>1666000</v>
      </c>
      <c r="G42" s="260">
        <v>5.460000000000001E-2</v>
      </c>
      <c r="H42" s="2181">
        <v>90963.60000000002</v>
      </c>
      <c r="I42" s="260">
        <v>0.1638</v>
      </c>
      <c r="J42" s="2189">
        <v>272890.8</v>
      </c>
      <c r="K42" s="260">
        <v>6</v>
      </c>
      <c r="L42" s="2194">
        <v>545781.60000000009</v>
      </c>
      <c r="M42" s="2195">
        <v>1637344.7999999998</v>
      </c>
      <c r="N42" s="253">
        <v>174.85015984415745</v>
      </c>
      <c r="O42" s="179"/>
      <c r="P42" s="217" t="s">
        <v>1054</v>
      </c>
      <c r="Q42" s="627">
        <v>0.14000000000000001</v>
      </c>
      <c r="R42" s="268">
        <v>0.39</v>
      </c>
      <c r="S42" s="268">
        <v>5.460000000000001E-2</v>
      </c>
      <c r="T42" s="169"/>
      <c r="U42" s="735">
        <v>0.42</v>
      </c>
      <c r="V42" s="268">
        <v>0.39</v>
      </c>
      <c r="W42" s="736">
        <v>0.1638</v>
      </c>
    </row>
    <row r="43" spans="1:24" ht="16" x14ac:dyDescent="0.2">
      <c r="A43" s="169"/>
      <c r="B43" s="245" t="s">
        <v>1055</v>
      </c>
      <c r="C43" s="183" t="s">
        <v>1053</v>
      </c>
      <c r="D43" s="2169">
        <v>107075</v>
      </c>
      <c r="E43" s="2170">
        <v>1</v>
      </c>
      <c r="F43" s="2170">
        <v>1087500</v>
      </c>
      <c r="G43" s="184">
        <v>0.15960000000000002</v>
      </c>
      <c r="H43" s="2182">
        <v>173565.00000000003</v>
      </c>
      <c r="I43" s="260">
        <v>0.15989999999999999</v>
      </c>
      <c r="J43" s="2189">
        <v>173891.24999999997</v>
      </c>
      <c r="K43" s="184">
        <v>4</v>
      </c>
      <c r="L43" s="2196">
        <v>694260.00000000012</v>
      </c>
      <c r="M43" s="2195">
        <v>695564.99999999988</v>
      </c>
      <c r="N43" s="254">
        <v>308.16829456946022</v>
      </c>
      <c r="O43" s="179"/>
      <c r="P43" s="217" t="s">
        <v>1055</v>
      </c>
      <c r="Q43" s="627">
        <v>0.16</v>
      </c>
      <c r="R43" s="268">
        <v>0.39</v>
      </c>
      <c r="S43" s="268">
        <v>6.2400000000000004E-2</v>
      </c>
      <c r="T43" s="169"/>
      <c r="U43" s="735">
        <v>0.41</v>
      </c>
      <c r="V43" s="268">
        <v>0.39</v>
      </c>
      <c r="W43" s="736">
        <v>0.15989999999999999</v>
      </c>
    </row>
    <row r="44" spans="1:24" ht="17" thickBot="1" x14ac:dyDescent="0.25">
      <c r="A44" s="169"/>
      <c r="B44" s="250" t="s">
        <v>976</v>
      </c>
      <c r="C44" s="249" t="s">
        <v>1056</v>
      </c>
      <c r="D44" s="2171">
        <v>1578</v>
      </c>
      <c r="E44" s="2172">
        <v>1</v>
      </c>
      <c r="F44" s="2172">
        <v>360000</v>
      </c>
      <c r="G44" s="248">
        <v>6.6300000000000012E-2</v>
      </c>
      <c r="H44" s="2183">
        <v>23868.000000000004</v>
      </c>
      <c r="I44" s="260">
        <v>0.12870000000000001</v>
      </c>
      <c r="J44" s="2189">
        <v>46332</v>
      </c>
      <c r="K44" s="248">
        <v>4</v>
      </c>
      <c r="L44" s="2197">
        <v>95472.000000000015</v>
      </c>
      <c r="M44" s="2195">
        <v>185328</v>
      </c>
      <c r="N44" s="255">
        <v>22.47863247863248</v>
      </c>
      <c r="O44" s="169"/>
      <c r="P44" s="217" t="s">
        <v>976</v>
      </c>
      <c r="Q44" s="627">
        <v>0.17</v>
      </c>
      <c r="R44" s="268">
        <v>0.39</v>
      </c>
      <c r="S44" s="268">
        <v>6.6300000000000012E-2</v>
      </c>
      <c r="T44" s="169"/>
      <c r="U44" s="735">
        <v>0.33</v>
      </c>
      <c r="V44" s="268">
        <v>0.39</v>
      </c>
      <c r="W44" s="736">
        <v>0.12870000000000001</v>
      </c>
    </row>
    <row r="45" spans="1:24" ht="18" thickTop="1" thickBot="1" x14ac:dyDescent="0.25">
      <c r="A45" s="169"/>
      <c r="B45" s="246" t="s">
        <v>1057</v>
      </c>
      <c r="C45" s="284"/>
      <c r="D45" s="251">
        <v>172273</v>
      </c>
      <c r="E45" s="247"/>
      <c r="F45" s="247"/>
      <c r="G45" s="247"/>
      <c r="H45" s="247"/>
      <c r="I45" s="247"/>
      <c r="J45" s="247"/>
      <c r="K45" s="284"/>
      <c r="L45" s="284"/>
      <c r="M45" s="256"/>
      <c r="N45" s="252">
        <v>505.49708689225014</v>
      </c>
      <c r="O45" s="169"/>
      <c r="P45" s="169"/>
      <c r="Q45" s="169"/>
      <c r="R45" s="169"/>
      <c r="S45" s="169"/>
      <c r="T45" s="169"/>
      <c r="U45" s="169"/>
    </row>
    <row r="46" spans="1:24" ht="18" thickTop="1" thickBot="1" x14ac:dyDescent="0.25">
      <c r="A46" s="169"/>
      <c r="B46" s="169"/>
      <c r="C46" s="178"/>
      <c r="D46" s="178"/>
      <c r="E46" s="178"/>
      <c r="F46" s="178"/>
      <c r="G46" s="178"/>
      <c r="H46" s="178"/>
      <c r="I46" s="178"/>
      <c r="J46" s="178"/>
      <c r="K46" s="178"/>
      <c r="L46" s="178"/>
      <c r="M46" s="178"/>
      <c r="N46" s="178"/>
      <c r="O46" s="178"/>
      <c r="P46" s="178"/>
      <c r="Q46" s="178"/>
      <c r="R46" s="169"/>
      <c r="S46" s="169"/>
      <c r="T46" s="169"/>
      <c r="U46" s="169"/>
      <c r="V46" s="169"/>
      <c r="W46" s="169"/>
    </row>
    <row r="47" spans="1:24" ht="17" thickTop="1" x14ac:dyDescent="0.2">
      <c r="A47" s="169"/>
      <c r="B47" s="2324" t="s">
        <v>1058</v>
      </c>
      <c r="C47" s="2322" t="s">
        <v>71</v>
      </c>
      <c r="D47" s="2328"/>
      <c r="E47" s="2322" t="s">
        <v>72</v>
      </c>
      <c r="F47" s="2328"/>
      <c r="G47" s="2322" t="s">
        <v>73</v>
      </c>
      <c r="H47" s="2328"/>
      <c r="I47" s="2322" t="s">
        <v>74</v>
      </c>
      <c r="J47" s="2328"/>
      <c r="K47" s="2322" t="s">
        <v>75</v>
      </c>
      <c r="L47" s="2323"/>
      <c r="M47" s="178"/>
      <c r="N47" s="178"/>
      <c r="O47" s="178"/>
      <c r="P47" s="169"/>
      <c r="Q47" s="169"/>
      <c r="R47" s="169"/>
      <c r="S47" s="169"/>
      <c r="T47" s="169"/>
      <c r="U47" s="169"/>
      <c r="V47" s="169"/>
      <c r="W47" s="169"/>
    </row>
    <row r="48" spans="1:24" ht="16" x14ac:dyDescent="0.2">
      <c r="A48" s="169"/>
      <c r="B48" s="2325"/>
      <c r="C48" s="545" t="s">
        <v>792</v>
      </c>
      <c r="D48" s="240" t="s">
        <v>1029</v>
      </c>
      <c r="E48" s="545" t="s">
        <v>792</v>
      </c>
      <c r="F48" s="240" t="s">
        <v>1029</v>
      </c>
      <c r="G48" s="545" t="s">
        <v>792</v>
      </c>
      <c r="H48" s="240" t="s">
        <v>1029</v>
      </c>
      <c r="I48" s="545" t="s">
        <v>792</v>
      </c>
      <c r="J48" s="240" t="s">
        <v>1029</v>
      </c>
      <c r="K48" s="545" t="s">
        <v>792</v>
      </c>
      <c r="L48" s="241" t="s">
        <v>1029</v>
      </c>
      <c r="M48" s="178"/>
      <c r="N48" s="178"/>
      <c r="O48" s="178"/>
      <c r="P48" s="169"/>
      <c r="Q48" s="169"/>
      <c r="R48" s="169"/>
      <c r="S48" s="169"/>
      <c r="T48" s="169"/>
      <c r="U48" s="169"/>
      <c r="V48" s="169"/>
      <c r="W48" s="169"/>
    </row>
    <row r="49" spans="1:26" ht="16" x14ac:dyDescent="0.2">
      <c r="A49" s="169"/>
      <c r="B49" s="508" t="s">
        <v>1030</v>
      </c>
      <c r="C49" s="543">
        <v>8060000</v>
      </c>
      <c r="D49" s="595">
        <v>12020000</v>
      </c>
      <c r="E49" s="544">
        <v>8288285.9355566287</v>
      </c>
      <c r="F49" s="595">
        <v>12336998.865877114</v>
      </c>
      <c r="G49" s="544">
        <v>8519099.4789626393</v>
      </c>
      <c r="H49" s="595">
        <v>12365192.677053036</v>
      </c>
      <c r="I49" s="544">
        <v>8744113.0776918661</v>
      </c>
      <c r="J49" s="595">
        <v>12348150.765320711</v>
      </c>
      <c r="K49" s="546">
        <v>8958888.0618449114</v>
      </c>
      <c r="L49" s="594">
        <v>12279462.670491993</v>
      </c>
      <c r="M49" s="178"/>
      <c r="N49" s="178"/>
      <c r="O49" s="178"/>
      <c r="P49" s="169"/>
      <c r="Q49" s="169"/>
      <c r="R49" s="169"/>
      <c r="S49" s="169"/>
      <c r="T49" s="169"/>
      <c r="U49" s="169"/>
      <c r="V49" s="169"/>
      <c r="W49" s="169"/>
    </row>
    <row r="50" spans="1:26" ht="16" x14ac:dyDescent="0.2">
      <c r="A50" s="169"/>
      <c r="B50" s="509" t="s">
        <v>1059</v>
      </c>
      <c r="C50" s="612">
        <v>1.6928709677419357E-2</v>
      </c>
      <c r="D50" s="603">
        <v>3.4054592346089846E-2</v>
      </c>
      <c r="E50" s="601">
        <v>1.6462438803498708E-2</v>
      </c>
      <c r="F50" s="602">
        <v>3.317956047902236E-2</v>
      </c>
      <c r="G50" s="603">
        <v>1.6016411163755399E-2</v>
      </c>
      <c r="H50" s="602">
        <v>3.310390793664171E-2</v>
      </c>
      <c r="I50" s="603">
        <v>1.560425840650459E-2</v>
      </c>
      <c r="J50" s="602">
        <v>3.3149595253534184E-2</v>
      </c>
      <c r="K50" s="603">
        <v>1.5230171317923768E-2</v>
      </c>
      <c r="L50" s="604">
        <v>3.3335025398436212E-2</v>
      </c>
      <c r="M50" s="178"/>
      <c r="N50" s="178"/>
      <c r="O50" s="178"/>
      <c r="P50" s="169"/>
      <c r="Q50" s="169"/>
      <c r="R50" s="169"/>
      <c r="S50" s="169"/>
      <c r="T50" s="169"/>
      <c r="U50" s="169"/>
      <c r="V50" s="169"/>
      <c r="W50" s="169"/>
    </row>
    <row r="51" spans="1:26" ht="16" x14ac:dyDescent="0.2">
      <c r="A51" s="169"/>
      <c r="B51" s="509" t="s">
        <v>1055</v>
      </c>
      <c r="C51" s="612">
        <v>2.1534119106699754E-2</v>
      </c>
      <c r="D51" s="603">
        <v>1.4466826123128117E-2</v>
      </c>
      <c r="E51" s="601">
        <v>2.0941000509575647E-2</v>
      </c>
      <c r="F51" s="602">
        <v>1.4095101401116725E-2</v>
      </c>
      <c r="G51" s="603">
        <v>2.0373632263434353E-2</v>
      </c>
      <c r="H51" s="602">
        <v>1.4062963234103281E-2</v>
      </c>
      <c r="I51" s="603">
        <v>1.984935446944323E-2</v>
      </c>
      <c r="J51" s="602">
        <v>1.4082371790306174E-2</v>
      </c>
      <c r="K51" s="603">
        <v>1.9373498005762296E-2</v>
      </c>
      <c r="L51" s="604">
        <v>1.4161144886076093E-2</v>
      </c>
      <c r="M51" s="178"/>
      <c r="N51" s="178"/>
      <c r="O51" s="178"/>
      <c r="P51" s="169"/>
      <c r="Q51" s="169"/>
      <c r="R51" s="169"/>
      <c r="S51" s="169"/>
      <c r="T51" s="169"/>
      <c r="U51" s="169"/>
      <c r="V51" s="169"/>
      <c r="W51" s="169"/>
    </row>
    <row r="52" spans="1:26" ht="17" thickBot="1" x14ac:dyDescent="0.25">
      <c r="A52" s="169"/>
      <c r="B52" s="510" t="s">
        <v>976</v>
      </c>
      <c r="C52" s="613">
        <v>2.9612903225806455E-3</v>
      </c>
      <c r="D52" s="605">
        <v>3.8545757071547422E-3</v>
      </c>
      <c r="E52" s="608">
        <v>2.8797269044021061E-3</v>
      </c>
      <c r="F52" s="606">
        <v>3.7555324843345497E-3</v>
      </c>
      <c r="G52" s="605">
        <v>2.8017045767502156E-3</v>
      </c>
      <c r="H52" s="606">
        <v>3.7469695143514887E-3</v>
      </c>
      <c r="I52" s="605">
        <v>2.7296078845197532E-3</v>
      </c>
      <c r="J52" s="606">
        <v>3.7521407764247237E-3</v>
      </c>
      <c r="K52" s="605">
        <v>2.6641699098408924E-3</v>
      </c>
      <c r="L52" s="607">
        <v>3.7731292682160696E-3</v>
      </c>
      <c r="M52" s="178"/>
      <c r="N52" s="178"/>
      <c r="O52" s="178"/>
      <c r="P52" s="169"/>
      <c r="Q52" s="169"/>
      <c r="R52" s="169"/>
      <c r="S52" s="169"/>
      <c r="T52" s="169"/>
      <c r="U52" s="169"/>
      <c r="V52" s="169"/>
      <c r="W52" s="169"/>
    </row>
    <row r="53" spans="1:26" ht="18" thickTop="1" thickBot="1" x14ac:dyDescent="0.25">
      <c r="A53" s="169"/>
      <c r="B53" s="506" t="s">
        <v>1032</v>
      </c>
      <c r="C53" s="610">
        <v>4.1424119106699755E-2</v>
      </c>
      <c r="D53" s="611">
        <v>5.237599417637271E-2</v>
      </c>
      <c r="E53" s="610">
        <v>4.0283166217476463E-2</v>
      </c>
      <c r="F53" s="611">
        <v>5.1030194364473633E-2</v>
      </c>
      <c r="G53" s="610">
        <v>3.9191748003939972E-2</v>
      </c>
      <c r="H53" s="611">
        <v>5.0913840685096481E-2</v>
      </c>
      <c r="I53" s="610">
        <v>3.8183220760467575E-2</v>
      </c>
      <c r="J53" s="611">
        <v>5.0984107820265086E-2</v>
      </c>
      <c r="K53" s="610">
        <v>3.7267839233526959E-2</v>
      </c>
      <c r="L53" s="609">
        <v>5.1269299552728374E-2</v>
      </c>
      <c r="M53" s="169"/>
      <c r="N53" s="169"/>
      <c r="O53" s="169"/>
      <c r="P53" s="169"/>
      <c r="Q53" s="169"/>
      <c r="R53" s="169"/>
      <c r="S53" s="169"/>
      <c r="T53" s="169"/>
      <c r="U53" s="169"/>
      <c r="V53" s="169"/>
      <c r="W53" s="169"/>
    </row>
    <row r="54" spans="1:26" customFormat="1" ht="17" thickTop="1" x14ac:dyDescent="0.2"/>
    <row r="55" spans="1:26" s="269" customFormat="1" ht="16" x14ac:dyDescent="0.2">
      <c r="B55" s="518" t="s">
        <v>1060</v>
      </c>
    </row>
    <row r="56" spans="1:26" ht="17" thickBot="1" x14ac:dyDescent="0.25">
      <c r="A56" s="169"/>
      <c r="B56" s="178"/>
      <c r="C56" s="169"/>
      <c r="D56" s="169"/>
      <c r="E56" s="169"/>
      <c r="F56" s="169"/>
      <c r="G56" s="169"/>
      <c r="H56" s="169"/>
      <c r="I56" s="169"/>
      <c r="J56" s="169"/>
      <c r="K56" s="169"/>
      <c r="L56" s="169"/>
      <c r="M56" s="169"/>
      <c r="N56" s="169"/>
      <c r="O56" s="169"/>
      <c r="P56" s="169"/>
      <c r="Q56" s="169"/>
      <c r="R56" s="169"/>
      <c r="S56" s="169"/>
      <c r="T56" s="169"/>
      <c r="U56" s="169"/>
      <c r="V56" s="169"/>
      <c r="W56" s="169"/>
    </row>
    <row r="57" spans="1:26" ht="18" thickTop="1" thickBot="1" x14ac:dyDescent="0.25">
      <c r="A57" s="169"/>
      <c r="B57" s="1321" t="s">
        <v>1061</v>
      </c>
      <c r="C57" s="169"/>
      <c r="D57" s="169"/>
      <c r="E57" s="282"/>
      <c r="F57" s="282"/>
      <c r="G57" s="282"/>
      <c r="H57" s="282"/>
      <c r="I57" s="282"/>
      <c r="J57" s="282"/>
      <c r="K57" s="282"/>
      <c r="L57" s="169"/>
      <c r="M57" s="169"/>
      <c r="N57" s="169"/>
      <c r="O57" s="169"/>
      <c r="P57" s="169"/>
      <c r="Q57" s="169"/>
      <c r="R57" s="169"/>
      <c r="S57" s="169"/>
      <c r="T57" s="169"/>
      <c r="U57" s="169"/>
      <c r="V57" s="169"/>
      <c r="W57" s="169"/>
    </row>
    <row r="58" spans="1:26" ht="17" thickTop="1" x14ac:dyDescent="0.2">
      <c r="A58" s="169"/>
      <c r="B58" s="1322" t="s">
        <v>1062</v>
      </c>
      <c r="C58" s="290" t="s">
        <v>1063</v>
      </c>
      <c r="D58" s="290" t="s">
        <v>994</v>
      </c>
      <c r="E58" s="290" t="s">
        <v>1064</v>
      </c>
      <c r="F58" s="290" t="s">
        <v>1065</v>
      </c>
      <c r="G58" s="290" t="s">
        <v>997</v>
      </c>
      <c r="H58" s="290" t="s">
        <v>998</v>
      </c>
      <c r="I58" s="290" t="s">
        <v>1066</v>
      </c>
      <c r="J58" s="290" t="s">
        <v>999</v>
      </c>
      <c r="K58" s="291" t="s">
        <v>1067</v>
      </c>
      <c r="L58" s="290" t="s">
        <v>985</v>
      </c>
      <c r="M58" s="291" t="s">
        <v>1068</v>
      </c>
      <c r="N58" s="292" t="s">
        <v>1069</v>
      </c>
      <c r="O58" s="170"/>
      <c r="P58" s="169"/>
      <c r="Q58"/>
      <c r="R58"/>
      <c r="S58" s="169"/>
      <c r="T58" s="169"/>
      <c r="U58" s="169"/>
      <c r="V58" s="169"/>
      <c r="W58" s="169"/>
      <c r="X58" s="169"/>
      <c r="Y58" s="169"/>
      <c r="Z58" s="169"/>
    </row>
    <row r="59" spans="1:26" ht="16" x14ac:dyDescent="0.2">
      <c r="A59" s="169"/>
      <c r="B59" s="293" t="s">
        <v>1070</v>
      </c>
      <c r="C59" s="2211">
        <v>750</v>
      </c>
      <c r="D59" s="2212">
        <v>650</v>
      </c>
      <c r="E59" s="2212">
        <v>650</v>
      </c>
      <c r="F59" s="2212">
        <v>600</v>
      </c>
      <c r="G59" s="2212">
        <v>700</v>
      </c>
      <c r="H59" s="2212">
        <v>1000</v>
      </c>
      <c r="I59" s="2212">
        <v>1200</v>
      </c>
      <c r="J59" s="2212">
        <v>750</v>
      </c>
      <c r="K59" s="2213">
        <v>2000</v>
      </c>
      <c r="L59" s="2212">
        <v>650</v>
      </c>
      <c r="M59" s="2213">
        <v>2500</v>
      </c>
      <c r="N59" s="2228">
        <v>700</v>
      </c>
      <c r="O59" s="169"/>
      <c r="P59" s="169"/>
      <c r="S59" s="169"/>
      <c r="T59" s="169"/>
      <c r="U59" s="169"/>
      <c r="V59" s="169"/>
      <c r="W59" s="169"/>
      <c r="X59" s="169"/>
      <c r="Y59" s="169"/>
      <c r="Z59" s="169"/>
    </row>
    <row r="60" spans="1:26" ht="16" x14ac:dyDescent="0.2">
      <c r="A60" s="169"/>
      <c r="B60" s="293" t="s">
        <v>1071</v>
      </c>
      <c r="C60" s="2211">
        <v>750</v>
      </c>
      <c r="D60" s="2212">
        <v>650</v>
      </c>
      <c r="E60" s="2212">
        <v>650</v>
      </c>
      <c r="F60" s="2212">
        <v>600</v>
      </c>
      <c r="G60" s="2212">
        <v>700</v>
      </c>
      <c r="H60" s="2212">
        <v>1000</v>
      </c>
      <c r="I60" s="2212">
        <v>1200</v>
      </c>
      <c r="J60" s="2212">
        <v>750</v>
      </c>
      <c r="K60" s="2213">
        <v>2000</v>
      </c>
      <c r="L60" s="2212">
        <v>650</v>
      </c>
      <c r="M60" s="2213">
        <v>2500</v>
      </c>
      <c r="N60" s="2228">
        <v>700</v>
      </c>
      <c r="O60" s="169"/>
      <c r="P60" s="169"/>
      <c r="S60" s="169"/>
      <c r="T60" s="169"/>
      <c r="U60" s="169"/>
      <c r="V60" s="169"/>
      <c r="W60" s="169"/>
      <c r="X60" s="169"/>
      <c r="Y60" s="169"/>
      <c r="Z60" s="169"/>
    </row>
    <row r="61" spans="1:26" ht="16" x14ac:dyDescent="0.2">
      <c r="A61" s="169"/>
      <c r="B61" s="293" t="s">
        <v>1072</v>
      </c>
      <c r="C61" s="2211">
        <v>750</v>
      </c>
      <c r="D61" s="2212">
        <v>650</v>
      </c>
      <c r="E61" s="2212">
        <v>650</v>
      </c>
      <c r="F61" s="2212">
        <v>600</v>
      </c>
      <c r="G61" s="2212">
        <v>700</v>
      </c>
      <c r="H61" s="2212">
        <v>1000</v>
      </c>
      <c r="I61" s="2212">
        <v>1200</v>
      </c>
      <c r="J61" s="2212">
        <v>750</v>
      </c>
      <c r="K61" s="2213">
        <v>2000</v>
      </c>
      <c r="L61" s="2212">
        <v>650</v>
      </c>
      <c r="M61" s="2213">
        <v>2500</v>
      </c>
      <c r="N61" s="2228">
        <v>700</v>
      </c>
      <c r="O61" s="169"/>
      <c r="P61" s="169"/>
      <c r="S61" s="169"/>
      <c r="T61" s="169"/>
      <c r="U61" s="169"/>
      <c r="V61" s="169"/>
      <c r="W61" s="169"/>
      <c r="X61" s="169"/>
      <c r="Y61" s="169"/>
      <c r="Z61" s="169"/>
    </row>
    <row r="62" spans="1:26" ht="16" x14ac:dyDescent="0.2">
      <c r="A62" s="169"/>
      <c r="B62" s="294" t="s">
        <v>1073</v>
      </c>
      <c r="C62" s="186" t="s">
        <v>1074</v>
      </c>
      <c r="D62" s="187" t="s">
        <v>1075</v>
      </c>
      <c r="E62" s="187" t="s">
        <v>1076</v>
      </c>
      <c r="F62" s="188" t="s">
        <v>1077</v>
      </c>
      <c r="G62" s="188" t="s">
        <v>1078</v>
      </c>
      <c r="H62" s="187" t="s">
        <v>1079</v>
      </c>
      <c r="I62" s="187" t="s">
        <v>1080</v>
      </c>
      <c r="J62" s="187" t="s">
        <v>1081</v>
      </c>
      <c r="K62" s="187" t="s">
        <v>1081</v>
      </c>
      <c r="L62" s="2229" t="s">
        <v>1082</v>
      </c>
      <c r="M62" s="2229" t="s">
        <v>1082</v>
      </c>
      <c r="N62" s="2230" t="s">
        <v>1083</v>
      </c>
      <c r="O62" s="169"/>
      <c r="P62" s="169"/>
      <c r="S62" s="169"/>
      <c r="T62" s="169"/>
      <c r="U62" s="169"/>
      <c r="V62" s="169"/>
      <c r="W62" s="169"/>
      <c r="X62" s="169"/>
      <c r="Y62" s="169"/>
      <c r="Z62" s="169"/>
    </row>
    <row r="63" spans="1:26" ht="17" thickBot="1" x14ac:dyDescent="0.25">
      <c r="A63" s="169"/>
      <c r="B63" s="295" t="s">
        <v>1084</v>
      </c>
      <c r="C63" s="2216">
        <v>750</v>
      </c>
      <c r="D63" s="2217">
        <v>650</v>
      </c>
      <c r="E63" s="2217">
        <v>650</v>
      </c>
      <c r="F63" s="2217">
        <v>600</v>
      </c>
      <c r="G63" s="2217">
        <v>700</v>
      </c>
      <c r="H63" s="2217">
        <v>1000</v>
      </c>
      <c r="I63" s="2217">
        <v>1200</v>
      </c>
      <c r="J63" s="2217">
        <v>750</v>
      </c>
      <c r="K63" s="2218">
        <v>2000</v>
      </c>
      <c r="L63" s="2217">
        <v>650</v>
      </c>
      <c r="M63" s="2218">
        <v>2500</v>
      </c>
      <c r="N63" s="2231">
        <v>700</v>
      </c>
      <c r="O63"/>
      <c r="P63" s="169"/>
      <c r="S63" s="169"/>
      <c r="T63" s="169"/>
      <c r="U63" s="169"/>
      <c r="V63" s="169"/>
      <c r="W63" s="169"/>
      <c r="X63" s="169"/>
      <c r="Y63" s="169"/>
      <c r="Z63" s="169"/>
    </row>
    <row r="64" spans="1:26" ht="18" thickTop="1" thickBot="1" x14ac:dyDescent="0.25">
      <c r="A64" s="169"/>
      <c r="B64" s="296" t="s">
        <v>1085</v>
      </c>
      <c r="C64" s="2219">
        <v>3000</v>
      </c>
      <c r="D64" s="2219">
        <v>2600</v>
      </c>
      <c r="E64" s="2220">
        <v>2600</v>
      </c>
      <c r="F64" s="2220">
        <v>2400</v>
      </c>
      <c r="G64" s="2220">
        <v>2800</v>
      </c>
      <c r="H64" s="2220">
        <v>4000</v>
      </c>
      <c r="I64" s="2220">
        <v>4800</v>
      </c>
      <c r="J64" s="2220">
        <v>3000</v>
      </c>
      <c r="K64" s="2221">
        <v>8000</v>
      </c>
      <c r="L64" s="2220">
        <v>2600</v>
      </c>
      <c r="M64" s="2221">
        <v>10000</v>
      </c>
      <c r="N64" s="2232">
        <v>2800</v>
      </c>
      <c r="O64"/>
      <c r="P64" s="169"/>
      <c r="S64" s="169"/>
      <c r="T64" s="169"/>
      <c r="U64" s="169"/>
      <c r="V64" s="169"/>
      <c r="W64" s="169"/>
      <c r="X64" s="169"/>
      <c r="Y64" s="169"/>
      <c r="Z64" s="169"/>
    </row>
    <row r="65" spans="1:26" ht="18" thickTop="1" thickBot="1" x14ac:dyDescent="0.25">
      <c r="A65" s="169"/>
      <c r="B65"/>
      <c r="C65" s="300" t="s">
        <v>1086</v>
      </c>
      <c r="D65" s="301" t="s">
        <v>1087</v>
      </c>
      <c r="E65"/>
      <c r="F65"/>
      <c r="G65"/>
      <c r="H65"/>
      <c r="I65"/>
      <c r="J65"/>
      <c r="K65"/>
      <c r="L65"/>
      <c r="M65"/>
      <c r="N65"/>
      <c r="O65" s="169"/>
      <c r="P65" s="169"/>
      <c r="S65" s="169"/>
      <c r="T65" s="169"/>
      <c r="U65" s="169"/>
      <c r="V65" s="169"/>
      <c r="W65" s="169"/>
      <c r="X65" s="169"/>
      <c r="Y65" s="169"/>
      <c r="Z65" s="169"/>
    </row>
    <row r="66" spans="1:26" ht="18" thickTop="1" thickBot="1" x14ac:dyDescent="0.25">
      <c r="A66" s="169"/>
      <c r="B66" s="298" t="s">
        <v>1088</v>
      </c>
      <c r="C66" s="299">
        <v>61200</v>
      </c>
      <c r="D66" s="297">
        <v>86000</v>
      </c>
      <c r="E66" s="169"/>
      <c r="F66" s="169"/>
      <c r="G66" s="169"/>
      <c r="H66" s="169"/>
      <c r="I66" s="169"/>
      <c r="J66" s="169"/>
      <c r="K66" s="169"/>
      <c r="L66" s="169"/>
      <c r="M66" s="169"/>
      <c r="N66" s="169"/>
      <c r="P66" s="173"/>
      <c r="Q66" s="169"/>
      <c r="R66" s="169"/>
      <c r="S66" s="169"/>
      <c r="T66" s="169"/>
      <c r="U66" s="169"/>
      <c r="V66" s="169"/>
      <c r="W66" s="169"/>
    </row>
    <row r="67" spans="1:26" ht="18" thickTop="1" thickBot="1" x14ac:dyDescent="0.25">
      <c r="A67" s="169"/>
      <c r="B67" s="178"/>
      <c r="C67" s="178"/>
      <c r="D67" s="178"/>
      <c r="E67" s="178"/>
      <c r="F67" s="178"/>
      <c r="G67" s="178"/>
      <c r="H67" s="178"/>
      <c r="I67" s="178"/>
      <c r="J67" s="178"/>
      <c r="K67" s="178"/>
      <c r="L67" s="169"/>
      <c r="M67" s="169"/>
      <c r="N67" s="169"/>
      <c r="O67" s="169"/>
      <c r="P67" s="169"/>
      <c r="Q67" s="169"/>
      <c r="R67" s="169"/>
      <c r="S67" s="169"/>
      <c r="T67" s="169"/>
      <c r="U67" s="169"/>
      <c r="V67" s="169"/>
      <c r="W67" s="169"/>
    </row>
    <row r="68" spans="1:26" ht="17" thickTop="1" x14ac:dyDescent="0.2">
      <c r="A68" s="169"/>
      <c r="B68" s="2312" t="s">
        <v>1089</v>
      </c>
      <c r="C68" s="2314" t="s">
        <v>71</v>
      </c>
      <c r="D68" s="2315"/>
      <c r="E68" s="2310" t="s">
        <v>72</v>
      </c>
      <c r="F68" s="2316"/>
      <c r="G68" s="2310" t="s">
        <v>73</v>
      </c>
      <c r="H68" s="2316"/>
      <c r="I68" s="2310" t="s">
        <v>74</v>
      </c>
      <c r="J68" s="2316"/>
      <c r="K68" s="2310" t="s">
        <v>75</v>
      </c>
      <c r="L68" s="2311"/>
      <c r="M68" s="169" t="s">
        <v>1090</v>
      </c>
      <c r="N68" s="169" t="s">
        <v>1091</v>
      </c>
      <c r="O68" s="169"/>
      <c r="P68" s="169"/>
      <c r="Q68" s="169"/>
      <c r="R68" s="169"/>
      <c r="S68" s="169"/>
      <c r="T68" s="169"/>
      <c r="U68" s="169"/>
      <c r="V68" s="169"/>
      <c r="W68" s="169"/>
    </row>
    <row r="69" spans="1:26" ht="16" x14ac:dyDescent="0.2">
      <c r="A69" s="169"/>
      <c r="B69" s="2313"/>
      <c r="C69" s="533" t="s">
        <v>792</v>
      </c>
      <c r="D69" s="264" t="s">
        <v>1029</v>
      </c>
      <c r="E69" s="535" t="s">
        <v>792</v>
      </c>
      <c r="F69" s="264" t="s">
        <v>1029</v>
      </c>
      <c r="G69" s="533" t="s">
        <v>792</v>
      </c>
      <c r="H69" s="264" t="s">
        <v>1029</v>
      </c>
      <c r="I69" s="533" t="s">
        <v>792</v>
      </c>
      <c r="J69" s="264" t="s">
        <v>1029</v>
      </c>
      <c r="K69" s="533" t="s">
        <v>792</v>
      </c>
      <c r="L69" s="265" t="s">
        <v>1029</v>
      </c>
      <c r="M69" s="268">
        <v>4.0000000000000002E-4</v>
      </c>
      <c r="N69" s="268">
        <v>2.9999999999999997E-4</v>
      </c>
      <c r="O69" s="169"/>
      <c r="P69" s="169"/>
      <c r="Q69" s="169"/>
      <c r="R69" s="169"/>
      <c r="S69" s="169"/>
      <c r="T69" s="169"/>
      <c r="U69" s="169"/>
      <c r="V69" s="169"/>
      <c r="W69" s="169"/>
    </row>
    <row r="70" spans="1:26" s="494" customFormat="1" ht="16" x14ac:dyDescent="0.2">
      <c r="A70" s="491"/>
      <c r="B70" s="511" t="s">
        <v>1030</v>
      </c>
      <c r="C70" s="534">
        <v>8060000</v>
      </c>
      <c r="D70" s="492">
        <v>12020000</v>
      </c>
      <c r="E70" s="536">
        <v>8288285.9355566287</v>
      </c>
      <c r="F70" s="492">
        <v>12336998.865877114</v>
      </c>
      <c r="G70" s="534">
        <v>8519099.4789626393</v>
      </c>
      <c r="H70" s="492">
        <v>12365192.677053036</v>
      </c>
      <c r="I70" s="534">
        <v>8744113.0776918661</v>
      </c>
      <c r="J70" s="492">
        <v>12348150.765320711</v>
      </c>
      <c r="K70" s="534">
        <v>8958888.0618449114</v>
      </c>
      <c r="L70" s="493">
        <v>12279462.670491993</v>
      </c>
      <c r="M70" s="491"/>
      <c r="N70" s="491"/>
      <c r="O70" s="491"/>
      <c r="P70" s="491"/>
      <c r="Q70" s="491"/>
      <c r="R70" s="491"/>
      <c r="S70" s="491"/>
      <c r="T70" s="491"/>
      <c r="U70" s="491"/>
      <c r="V70" s="491"/>
      <c r="W70" s="491"/>
    </row>
    <row r="71" spans="1:26" ht="16" x14ac:dyDescent="0.2">
      <c r="A71" s="169"/>
      <c r="B71" s="512" t="s">
        <v>1092</v>
      </c>
      <c r="C71" s="529">
        <v>4.0000000000000002E-4</v>
      </c>
      <c r="D71" s="495">
        <v>2.9999999999999997E-4</v>
      </c>
      <c r="E71" s="537">
        <v>4.0000000000000002E-4</v>
      </c>
      <c r="F71" s="495">
        <v>2.9999999999999997E-4</v>
      </c>
      <c r="G71" s="529">
        <v>4.0000000000000002E-4</v>
      </c>
      <c r="H71" s="495">
        <v>2.9999999999999997E-4</v>
      </c>
      <c r="I71" s="529">
        <v>4.0000000000000002E-4</v>
      </c>
      <c r="J71" s="495">
        <v>2.9999999999999997E-4</v>
      </c>
      <c r="K71" s="529">
        <v>4.0000000000000002E-4</v>
      </c>
      <c r="L71" s="593">
        <v>2.9999999999999997E-4</v>
      </c>
      <c r="M71" s="268"/>
      <c r="N71" s="268"/>
      <c r="O71" s="169"/>
      <c r="P71" s="169"/>
      <c r="Q71" s="169"/>
      <c r="R71" s="169"/>
      <c r="S71" s="169"/>
      <c r="T71" s="169"/>
      <c r="U71" s="169"/>
      <c r="V71" s="169"/>
      <c r="W71" s="169"/>
    </row>
    <row r="72" spans="1:26" ht="16" x14ac:dyDescent="0.2">
      <c r="A72" s="169"/>
      <c r="B72" s="266" t="s">
        <v>1093</v>
      </c>
      <c r="C72" s="530">
        <v>2.3999999999999998E-3</v>
      </c>
      <c r="D72" s="530">
        <v>1.7999999999999997E-3</v>
      </c>
      <c r="E72" s="530">
        <v>2.3999999999999998E-3</v>
      </c>
      <c r="F72" s="530">
        <v>1.7999999999999997E-3</v>
      </c>
      <c r="G72" s="530">
        <v>2.3999999999999998E-3</v>
      </c>
      <c r="H72" s="530">
        <v>1.7999999999999997E-3</v>
      </c>
      <c r="I72" s="530">
        <v>2.3999999999999998E-3</v>
      </c>
      <c r="J72" s="530">
        <v>1.7999999999999997E-3</v>
      </c>
      <c r="K72" s="530">
        <v>2.3999999999999998E-3</v>
      </c>
      <c r="L72" s="530">
        <v>1.7999999999999997E-3</v>
      </c>
      <c r="M72" s="169"/>
      <c r="N72" s="169"/>
      <c r="O72" s="169"/>
      <c r="P72" s="169"/>
      <c r="Q72" s="169"/>
      <c r="R72" s="169"/>
      <c r="S72" s="169"/>
      <c r="T72" s="169"/>
      <c r="U72" s="169"/>
      <c r="V72" s="169"/>
      <c r="W72" s="169"/>
    </row>
    <row r="73" spans="1:26" ht="16" x14ac:dyDescent="0.2">
      <c r="A73" s="169"/>
      <c r="B73" s="266" t="s">
        <v>994</v>
      </c>
      <c r="C73" s="530">
        <v>2.0800000000000003E-3</v>
      </c>
      <c r="D73" s="530">
        <v>1.5599999999999998E-3</v>
      </c>
      <c r="E73" s="530">
        <v>2.0800000000000003E-3</v>
      </c>
      <c r="F73" s="530">
        <v>1.5599999999999998E-3</v>
      </c>
      <c r="G73" s="530">
        <v>2.0800000000000003E-3</v>
      </c>
      <c r="H73" s="530">
        <v>1.5599999999999998E-3</v>
      </c>
      <c r="I73" s="530">
        <v>2.0800000000000003E-3</v>
      </c>
      <c r="J73" s="530">
        <v>1.5599999999999998E-3</v>
      </c>
      <c r="K73" s="530">
        <v>2.0800000000000003E-3</v>
      </c>
      <c r="L73" s="530">
        <v>1.5599999999999998E-3</v>
      </c>
      <c r="M73" s="169"/>
      <c r="N73" s="169"/>
      <c r="O73" s="169"/>
      <c r="P73" s="169"/>
      <c r="Q73" s="169"/>
      <c r="R73" s="169"/>
      <c r="S73" s="169"/>
      <c r="T73" s="169"/>
      <c r="U73" s="169"/>
      <c r="V73" s="169"/>
      <c r="W73" s="169"/>
    </row>
    <row r="74" spans="1:26" ht="16" x14ac:dyDescent="0.2">
      <c r="A74" s="169"/>
      <c r="B74" s="266" t="s">
        <v>995</v>
      </c>
      <c r="C74" s="530">
        <v>2.0800000000000003E-3</v>
      </c>
      <c r="D74" s="530">
        <v>1.5599999999999998E-3</v>
      </c>
      <c r="E74" s="530">
        <v>2.0800000000000003E-3</v>
      </c>
      <c r="F74" s="530">
        <v>1.5599999999999998E-3</v>
      </c>
      <c r="G74" s="530">
        <v>2.0800000000000003E-3</v>
      </c>
      <c r="H74" s="530">
        <v>1.5599999999999998E-3</v>
      </c>
      <c r="I74" s="530">
        <v>2.0800000000000003E-3</v>
      </c>
      <c r="J74" s="530">
        <v>1.5599999999999998E-3</v>
      </c>
      <c r="K74" s="530">
        <v>2.0800000000000003E-3</v>
      </c>
      <c r="L74" s="530">
        <v>1.5599999999999998E-3</v>
      </c>
      <c r="M74" s="169"/>
      <c r="N74" s="169"/>
      <c r="O74" s="169"/>
      <c r="P74" s="169"/>
      <c r="Q74" s="169"/>
      <c r="R74" s="169"/>
      <c r="S74" s="169"/>
      <c r="T74" s="169"/>
      <c r="U74" s="169"/>
      <c r="V74" s="169"/>
      <c r="W74" s="169"/>
    </row>
    <row r="75" spans="1:26" ht="16" x14ac:dyDescent="0.2">
      <c r="A75" s="169"/>
      <c r="B75" s="266" t="s">
        <v>996</v>
      </c>
      <c r="C75" s="530">
        <v>1.92E-3</v>
      </c>
      <c r="D75" s="530">
        <v>1.4399999999999999E-3</v>
      </c>
      <c r="E75" s="530">
        <v>1.92E-3</v>
      </c>
      <c r="F75" s="530">
        <v>1.4399999999999999E-3</v>
      </c>
      <c r="G75" s="530">
        <v>1.92E-3</v>
      </c>
      <c r="H75" s="530">
        <v>1.4399999999999999E-3</v>
      </c>
      <c r="I75" s="530">
        <v>1.92E-3</v>
      </c>
      <c r="J75" s="530">
        <v>1.4399999999999999E-3</v>
      </c>
      <c r="K75" s="530">
        <v>1.92E-3</v>
      </c>
      <c r="L75" s="530">
        <v>1.4399999999999999E-3</v>
      </c>
      <c r="M75" s="169"/>
      <c r="N75" s="169"/>
      <c r="O75" s="169"/>
      <c r="P75" s="169"/>
      <c r="Q75" s="169"/>
      <c r="R75" s="169"/>
      <c r="S75" s="169"/>
      <c r="T75" s="169"/>
      <c r="U75" s="169"/>
      <c r="V75" s="169"/>
      <c r="W75" s="169"/>
    </row>
    <row r="76" spans="1:26" ht="16" x14ac:dyDescent="0.2">
      <c r="A76" s="169"/>
      <c r="B76" s="266" t="s">
        <v>997</v>
      </c>
      <c r="C76" s="530">
        <v>2.2400000000000002E-3</v>
      </c>
      <c r="D76" s="530">
        <v>1.6799999999999999E-3</v>
      </c>
      <c r="E76" s="530">
        <v>2.2400000000000002E-3</v>
      </c>
      <c r="F76" s="530">
        <v>1.6799999999999999E-3</v>
      </c>
      <c r="G76" s="530">
        <v>2.2400000000000002E-3</v>
      </c>
      <c r="H76" s="530">
        <v>1.6799999999999999E-3</v>
      </c>
      <c r="I76" s="530">
        <v>2.2400000000000002E-3</v>
      </c>
      <c r="J76" s="530">
        <v>1.6799999999999999E-3</v>
      </c>
      <c r="K76" s="530">
        <v>2.2400000000000002E-3</v>
      </c>
      <c r="L76" s="530">
        <v>1.6799999999999999E-3</v>
      </c>
      <c r="M76" s="169"/>
      <c r="N76" s="169"/>
      <c r="O76" s="169"/>
      <c r="P76" s="169"/>
      <c r="Q76" s="169"/>
      <c r="R76" s="169"/>
      <c r="S76" s="169"/>
      <c r="T76" s="169"/>
      <c r="U76" s="169"/>
      <c r="V76" s="169"/>
      <c r="W76" s="169"/>
    </row>
    <row r="77" spans="1:26" ht="16" x14ac:dyDescent="0.2">
      <c r="A77" s="169"/>
      <c r="B77" s="266" t="s">
        <v>998</v>
      </c>
      <c r="C77" s="530">
        <v>3.2000000000000002E-3</v>
      </c>
      <c r="D77" s="530">
        <v>2.3999999999999998E-3</v>
      </c>
      <c r="E77" s="530">
        <v>3.2000000000000002E-3</v>
      </c>
      <c r="F77" s="530">
        <v>2.3999999999999998E-3</v>
      </c>
      <c r="G77" s="530">
        <v>3.2000000000000002E-3</v>
      </c>
      <c r="H77" s="530">
        <v>2.3999999999999998E-3</v>
      </c>
      <c r="I77" s="530">
        <v>3.2000000000000002E-3</v>
      </c>
      <c r="J77" s="530">
        <v>2.3999999999999998E-3</v>
      </c>
      <c r="K77" s="530">
        <v>3.2000000000000002E-3</v>
      </c>
      <c r="L77" s="530">
        <v>2.3999999999999998E-3</v>
      </c>
      <c r="M77" s="169"/>
      <c r="N77" s="169"/>
      <c r="O77" s="169"/>
      <c r="P77" s="169"/>
      <c r="Q77" s="169"/>
      <c r="R77" s="169"/>
      <c r="S77" s="169"/>
      <c r="T77" s="169"/>
      <c r="U77" s="169"/>
      <c r="V77" s="169"/>
      <c r="W77" s="169"/>
    </row>
    <row r="78" spans="1:26" ht="16" x14ac:dyDescent="0.2">
      <c r="A78" s="169"/>
      <c r="B78" s="266" t="s">
        <v>1066</v>
      </c>
      <c r="C78" s="530">
        <v>3.8400000000000001E-3</v>
      </c>
      <c r="D78" s="530">
        <v>2.8799999999999997E-3</v>
      </c>
      <c r="E78" s="530">
        <v>3.8400000000000001E-3</v>
      </c>
      <c r="F78" s="530">
        <v>2.8799999999999997E-3</v>
      </c>
      <c r="G78" s="530">
        <v>3.8400000000000001E-3</v>
      </c>
      <c r="H78" s="530">
        <v>2.8799999999999997E-3</v>
      </c>
      <c r="I78" s="530">
        <v>3.8400000000000001E-3</v>
      </c>
      <c r="J78" s="530">
        <v>2.8799999999999997E-3</v>
      </c>
      <c r="K78" s="530">
        <v>3.8400000000000001E-3</v>
      </c>
      <c r="L78" s="530">
        <v>2.8799999999999997E-3</v>
      </c>
      <c r="M78" s="169"/>
      <c r="N78" s="169"/>
      <c r="O78" s="169"/>
      <c r="P78" s="169"/>
      <c r="Q78" s="169"/>
      <c r="R78" s="169"/>
      <c r="S78" s="169"/>
      <c r="T78" s="169"/>
      <c r="U78" s="169"/>
      <c r="V78" s="169"/>
      <c r="W78" s="169"/>
    </row>
    <row r="79" spans="1:26" ht="16" x14ac:dyDescent="0.2">
      <c r="A79" s="169"/>
      <c r="B79" s="266" t="s">
        <v>999</v>
      </c>
      <c r="C79" s="530">
        <v>2.3999999999999998E-3</v>
      </c>
      <c r="D79" s="530">
        <v>1.7999999999999997E-3</v>
      </c>
      <c r="E79" s="530">
        <v>2.3999999999999998E-3</v>
      </c>
      <c r="F79" s="530">
        <v>1.7999999999999997E-3</v>
      </c>
      <c r="G79" s="530">
        <v>2.3999999999999998E-3</v>
      </c>
      <c r="H79" s="530">
        <v>1.7999999999999997E-3</v>
      </c>
      <c r="I79" s="530">
        <v>6.4000000000000003E-3</v>
      </c>
      <c r="J79" s="530">
        <v>4.7999999999999996E-3</v>
      </c>
      <c r="K79" s="530">
        <v>6.4000000000000003E-3</v>
      </c>
      <c r="L79" s="530">
        <v>4.7999999999999996E-3</v>
      </c>
      <c r="M79" s="169"/>
      <c r="N79" s="169"/>
      <c r="O79" s="169"/>
      <c r="P79" s="169"/>
      <c r="Q79" s="169"/>
      <c r="R79" s="169"/>
      <c r="S79" s="169"/>
      <c r="T79" s="169"/>
      <c r="U79" s="169"/>
      <c r="V79" s="169"/>
      <c r="W79" s="169"/>
    </row>
    <row r="80" spans="1:26" ht="16" x14ac:dyDescent="0.2">
      <c r="A80" s="169"/>
      <c r="B80" s="266" t="s">
        <v>1094</v>
      </c>
      <c r="C80" s="530">
        <v>2.0800000000000003E-3</v>
      </c>
      <c r="D80" s="530">
        <v>1.5599999999999998E-3</v>
      </c>
      <c r="E80" s="530">
        <v>2.0800000000000003E-3</v>
      </c>
      <c r="F80" s="530">
        <v>1.5599999999999998E-3</v>
      </c>
      <c r="G80" s="530">
        <v>2.0800000000000003E-3</v>
      </c>
      <c r="H80" s="530">
        <v>1.5599999999999998E-3</v>
      </c>
      <c r="I80" s="530">
        <v>8.0000000000000002E-3</v>
      </c>
      <c r="J80" s="530">
        <v>5.9999999999999993E-3</v>
      </c>
      <c r="K80" s="530">
        <v>8.0000000000000002E-3</v>
      </c>
      <c r="L80" s="530">
        <v>5.9999999999999993E-3</v>
      </c>
      <c r="M80" s="169"/>
      <c r="N80" s="169"/>
      <c r="O80" s="169"/>
      <c r="P80" s="169"/>
      <c r="Q80" s="169"/>
      <c r="R80" s="169"/>
      <c r="S80" s="169"/>
      <c r="T80" s="169"/>
      <c r="U80" s="169"/>
      <c r="V80" s="169"/>
      <c r="W80" s="169"/>
    </row>
    <row r="81" spans="1:23" ht="17" thickBot="1" x14ac:dyDescent="0.25">
      <c r="A81" s="169"/>
      <c r="B81" s="267" t="s">
        <v>1069</v>
      </c>
      <c r="C81" s="531">
        <v>2.2400000000000002E-3</v>
      </c>
      <c r="D81" s="531">
        <v>1.6799999999999999E-3</v>
      </c>
      <c r="E81" s="531">
        <v>2.2400000000000002E-3</v>
      </c>
      <c r="F81" s="531">
        <v>1.6799999999999999E-3</v>
      </c>
      <c r="G81" s="531">
        <v>2.2400000000000002E-3</v>
      </c>
      <c r="H81" s="531">
        <v>1.6799999999999999E-3</v>
      </c>
      <c r="I81" s="531">
        <v>2.2400000000000002E-3</v>
      </c>
      <c r="J81" s="531">
        <v>1.6799999999999999E-3</v>
      </c>
      <c r="K81" s="531">
        <v>2.2400000000000002E-3</v>
      </c>
      <c r="L81" s="531">
        <v>1.6799999999999999E-3</v>
      </c>
      <c r="M81" s="169"/>
      <c r="N81" s="169"/>
      <c r="O81" s="169"/>
      <c r="P81" s="169"/>
      <c r="Q81" s="169"/>
      <c r="R81" s="169"/>
      <c r="S81" s="169"/>
      <c r="T81" s="169"/>
      <c r="U81" s="169"/>
      <c r="V81" s="169"/>
      <c r="W81" s="169"/>
    </row>
    <row r="82" spans="1:23" ht="18" thickTop="1" thickBot="1" x14ac:dyDescent="0.25">
      <c r="A82" s="169"/>
      <c r="B82" s="507" t="s">
        <v>1032</v>
      </c>
      <c r="C82" s="532">
        <v>2.4480000000000002E-2</v>
      </c>
      <c r="D82" s="522">
        <v>1.8359999999999998E-2</v>
      </c>
      <c r="E82" s="538">
        <v>2.4480000000000002E-2</v>
      </c>
      <c r="F82" s="487">
        <v>1.8359999999999998E-2</v>
      </c>
      <c r="G82" s="539">
        <v>2.4480000000000002E-2</v>
      </c>
      <c r="H82" s="487">
        <v>1.8359999999999998E-2</v>
      </c>
      <c r="I82" s="539">
        <v>3.44E-2</v>
      </c>
      <c r="J82" s="487">
        <v>2.5799999999999997E-2</v>
      </c>
      <c r="K82" s="539">
        <v>3.44E-2</v>
      </c>
      <c r="L82" s="488">
        <v>2.5799999999999997E-2</v>
      </c>
      <c r="M82" s="169"/>
      <c r="N82" s="169"/>
      <c r="O82" s="169"/>
      <c r="P82" s="169"/>
      <c r="Q82" s="169"/>
      <c r="R82" s="169"/>
      <c r="S82" s="169"/>
      <c r="T82" s="169"/>
      <c r="U82" s="169"/>
      <c r="V82" s="169"/>
      <c r="W82" s="169"/>
    </row>
    <row r="83" spans="1:23" customFormat="1" ht="17" thickTop="1" x14ac:dyDescent="0.2"/>
    <row r="84" spans="1:23" s="269" customFormat="1" ht="16" x14ac:dyDescent="0.2">
      <c r="B84" s="518" t="s">
        <v>1095</v>
      </c>
    </row>
    <row r="85" spans="1:23" ht="17" thickBot="1"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row>
    <row r="86" spans="1:23" ht="16" x14ac:dyDescent="0.2">
      <c r="A86" s="169"/>
      <c r="B86" s="189" t="s">
        <v>954</v>
      </c>
      <c r="C86" s="1297" t="s">
        <v>1096</v>
      </c>
      <c r="D86" s="1297" t="s">
        <v>1097</v>
      </c>
      <c r="E86" s="1298" t="s">
        <v>1044</v>
      </c>
      <c r="F86" s="1298" t="s">
        <v>1098</v>
      </c>
      <c r="G86"/>
      <c r="H86" s="169"/>
      <c r="I86" s="169"/>
      <c r="J86" s="169"/>
      <c r="K86" s="169"/>
      <c r="L86" s="169"/>
      <c r="M86" s="169"/>
      <c r="N86" s="169"/>
      <c r="O86" s="169"/>
      <c r="P86" s="169"/>
      <c r="Q86" s="169"/>
      <c r="R86" s="169"/>
      <c r="S86" s="169"/>
      <c r="T86" s="169"/>
      <c r="U86" s="169"/>
    </row>
    <row r="87" spans="1:23" ht="16" x14ac:dyDescent="0.2">
      <c r="A87" s="169"/>
      <c r="B87" s="190" t="s">
        <v>1099</v>
      </c>
      <c r="C87" s="191">
        <v>30200000</v>
      </c>
      <c r="D87" s="192">
        <v>0.31862745098039214</v>
      </c>
      <c r="E87" s="193">
        <v>8</v>
      </c>
      <c r="F87" s="192">
        <v>0.16666666666666666</v>
      </c>
      <c r="G87"/>
      <c r="H87" s="169"/>
      <c r="I87" s="169"/>
      <c r="J87" s="169"/>
      <c r="K87" s="169"/>
      <c r="L87" s="169"/>
      <c r="M87" s="169"/>
      <c r="N87" s="169"/>
      <c r="O87" s="169"/>
      <c r="P87" s="169"/>
      <c r="Q87" s="169"/>
      <c r="R87" s="169"/>
      <c r="S87" s="169"/>
      <c r="T87" s="169"/>
      <c r="U87" s="169"/>
    </row>
    <row r="88" spans="1:23" ht="17" thickBot="1" x14ac:dyDescent="0.25">
      <c r="A88" s="169"/>
      <c r="B88" s="194" t="s">
        <v>1100</v>
      </c>
      <c r="C88" s="195"/>
      <c r="D88" s="195">
        <v>9622549.019607842</v>
      </c>
      <c r="E88" s="196"/>
      <c r="F88" s="2234">
        <v>1.3333333333333333</v>
      </c>
      <c r="G88"/>
      <c r="H88" s="169"/>
      <c r="I88" s="169"/>
      <c r="J88" s="169"/>
      <c r="K88" s="169"/>
      <c r="L88" s="169"/>
      <c r="M88" s="169"/>
      <c r="N88" s="169"/>
      <c r="O88" s="169"/>
      <c r="P88" s="169"/>
      <c r="Q88" s="169"/>
      <c r="R88" s="169"/>
      <c r="S88" s="169"/>
      <c r="T88" s="169"/>
      <c r="U88" s="169"/>
    </row>
    <row r="89" spans="1:23" ht="18" thickTop="1" thickBot="1" x14ac:dyDescent="0.25">
      <c r="A89" s="169"/>
      <c r="B89" s="197" t="s">
        <v>1101</v>
      </c>
      <c r="C89" s="169"/>
      <c r="D89" s="169"/>
      <c r="E89" s="169"/>
      <c r="F89" s="169"/>
      <c r="G89" s="169"/>
      <c r="H89" s="169"/>
      <c r="I89" s="169"/>
      <c r="J89" s="169"/>
      <c r="K89" s="169"/>
      <c r="L89" s="169"/>
      <c r="M89" s="169"/>
      <c r="N89" s="169"/>
      <c r="O89" s="169"/>
      <c r="P89" s="169"/>
      <c r="Q89" s="169"/>
      <c r="R89" s="169"/>
      <c r="S89" s="169"/>
      <c r="T89" s="169"/>
      <c r="U89" s="169"/>
      <c r="V89" s="169"/>
      <c r="W89" s="169"/>
    </row>
    <row r="90" spans="1:23" ht="16" x14ac:dyDescent="0.2">
      <c r="A90" s="169"/>
      <c r="B90" s="198" t="s">
        <v>1102</v>
      </c>
      <c r="C90" s="199">
        <v>1020</v>
      </c>
      <c r="D90" s="169"/>
      <c r="E90" s="200" t="s">
        <v>1103</v>
      </c>
      <c r="F90" s="201" t="s">
        <v>1104</v>
      </c>
      <c r="G90" s="169"/>
      <c r="H90" s="169"/>
      <c r="I90" s="169"/>
      <c r="J90" s="169"/>
      <c r="K90" s="169"/>
      <c r="L90" s="169"/>
      <c r="M90" s="169"/>
      <c r="N90" s="169"/>
      <c r="O90" s="169"/>
      <c r="P90" s="169"/>
      <c r="Q90" s="169"/>
      <c r="R90" s="169"/>
      <c r="S90" s="169"/>
      <c r="T90" s="169"/>
      <c r="U90" s="169"/>
      <c r="V90" s="169"/>
      <c r="W90" s="169"/>
    </row>
    <row r="91" spans="1:23" ht="16" x14ac:dyDescent="0.2">
      <c r="A91" s="169"/>
      <c r="B91" s="202" t="s">
        <v>1105</v>
      </c>
      <c r="C91" s="203">
        <v>325</v>
      </c>
      <c r="D91" s="169"/>
      <c r="E91" s="204">
        <v>6500</v>
      </c>
      <c r="F91" s="205">
        <v>6500</v>
      </c>
      <c r="G91" s="169"/>
      <c r="H91" s="169"/>
      <c r="I91" s="169"/>
      <c r="J91" s="169"/>
      <c r="K91" s="169"/>
      <c r="L91" s="169"/>
      <c r="M91" s="169"/>
      <c r="N91" s="169"/>
      <c r="O91" s="169"/>
      <c r="P91" s="169"/>
      <c r="Q91" s="169"/>
      <c r="R91" s="169"/>
      <c r="S91" s="169"/>
      <c r="T91" s="169"/>
      <c r="U91" s="169"/>
      <c r="V91" s="169"/>
      <c r="W91" s="169"/>
    </row>
    <row r="92" spans="1:23" ht="17" thickBot="1" x14ac:dyDescent="0.25">
      <c r="A92" s="169"/>
      <c r="B92" s="206" t="s">
        <v>1106</v>
      </c>
      <c r="C92" s="207">
        <v>0.31862745098039214</v>
      </c>
      <c r="D92" s="169"/>
      <c r="E92" s="208" t="s">
        <v>1107</v>
      </c>
      <c r="F92" s="2235">
        <v>13000</v>
      </c>
      <c r="G92" s="169"/>
      <c r="H92" s="169"/>
      <c r="I92" s="169"/>
      <c r="J92" s="169"/>
      <c r="K92" s="169"/>
      <c r="L92" s="169"/>
      <c r="M92" s="169"/>
      <c r="N92" s="169"/>
      <c r="O92" s="169"/>
      <c r="P92" s="169"/>
      <c r="Q92" s="169"/>
      <c r="R92" s="169"/>
      <c r="S92" s="169"/>
      <c r="T92" s="169"/>
      <c r="U92" s="169"/>
      <c r="V92" s="169"/>
      <c r="W92" s="169"/>
    </row>
    <row r="93" spans="1:23" ht="17" thickTop="1" x14ac:dyDescent="0.2">
      <c r="A93" s="169"/>
      <c r="B93" s="209"/>
      <c r="C93" s="210"/>
      <c r="D93" s="169"/>
      <c r="E93" s="169"/>
      <c r="F93" s="169"/>
      <c r="G93" s="169"/>
      <c r="H93" s="169"/>
      <c r="I93" s="169"/>
      <c r="J93" s="169"/>
      <c r="K93" s="169"/>
      <c r="L93" s="169"/>
      <c r="M93" s="169"/>
      <c r="N93" s="169"/>
      <c r="O93" s="169"/>
      <c r="P93" s="169"/>
      <c r="Q93" s="169"/>
      <c r="R93" s="169"/>
      <c r="S93" s="169"/>
      <c r="T93" s="169"/>
      <c r="U93" s="169"/>
      <c r="V93" s="169"/>
      <c r="W93" s="169"/>
    </row>
    <row r="94" spans="1:23" ht="16" x14ac:dyDescent="0.2">
      <c r="A94" s="169"/>
      <c r="B94" s="211" t="s">
        <v>1108</v>
      </c>
      <c r="C94" s="212">
        <v>10</v>
      </c>
      <c r="D94" s="169"/>
      <c r="E94" s="169"/>
      <c r="F94" s="169"/>
      <c r="G94" s="169"/>
      <c r="H94" s="169"/>
      <c r="I94" s="169"/>
      <c r="J94" s="169"/>
      <c r="K94" s="169"/>
      <c r="L94" s="169"/>
      <c r="M94" s="169"/>
      <c r="N94" s="169"/>
      <c r="O94" s="169"/>
      <c r="P94" s="169"/>
      <c r="Q94" s="169"/>
      <c r="R94" s="169"/>
      <c r="S94" s="169"/>
      <c r="T94" s="169"/>
      <c r="U94" s="169"/>
      <c r="V94" s="169"/>
      <c r="W94" s="169"/>
    </row>
    <row r="95" spans="1:23" ht="16" x14ac:dyDescent="0.2">
      <c r="A95" s="169"/>
      <c r="B95" s="202" t="s">
        <v>1109</v>
      </c>
      <c r="C95" s="213">
        <v>150</v>
      </c>
      <c r="D95" s="169"/>
      <c r="E95" s="169"/>
      <c r="F95" s="169"/>
      <c r="G95" s="169"/>
      <c r="H95" s="169"/>
      <c r="I95" s="169"/>
      <c r="J95" s="169"/>
      <c r="K95" s="169"/>
      <c r="L95" s="169"/>
      <c r="M95" s="169"/>
      <c r="N95" s="169"/>
      <c r="O95" s="169"/>
      <c r="P95" s="169"/>
      <c r="Q95" s="169"/>
      <c r="R95" s="169"/>
      <c r="S95" s="169"/>
      <c r="T95" s="169"/>
      <c r="U95" s="169"/>
      <c r="V95" s="169"/>
      <c r="W95" s="169"/>
    </row>
    <row r="96" spans="1:23" ht="16" x14ac:dyDescent="0.2">
      <c r="A96" s="169"/>
      <c r="B96" s="202" t="s">
        <v>1110</v>
      </c>
      <c r="C96" s="214">
        <v>1500</v>
      </c>
      <c r="D96" s="169"/>
      <c r="E96" s="169"/>
      <c r="F96" s="169"/>
      <c r="G96" s="169"/>
      <c r="H96" s="169"/>
      <c r="I96" s="169"/>
      <c r="J96" s="169"/>
      <c r="K96" s="169"/>
      <c r="L96" s="169"/>
      <c r="M96" s="169"/>
      <c r="N96" s="169"/>
      <c r="O96" s="169"/>
      <c r="P96" s="169"/>
      <c r="Q96" s="169"/>
      <c r="R96" s="169"/>
      <c r="S96" s="169"/>
      <c r="T96" s="169"/>
      <c r="U96" s="169"/>
      <c r="V96" s="169"/>
      <c r="W96" s="169"/>
    </row>
    <row r="97" spans="1:23" ht="17" thickBot="1" x14ac:dyDescent="0.25">
      <c r="A97" s="169"/>
      <c r="B97" s="215" t="s">
        <v>1111</v>
      </c>
      <c r="C97" s="216">
        <v>25</v>
      </c>
      <c r="D97" s="169"/>
      <c r="E97" s="169"/>
      <c r="F97" s="169"/>
      <c r="G97" s="169"/>
      <c r="H97" s="169"/>
      <c r="I97" s="169"/>
      <c r="J97" s="169"/>
      <c r="K97" s="169"/>
      <c r="L97" s="169"/>
      <c r="M97" s="169"/>
      <c r="N97" s="169"/>
      <c r="O97" s="169"/>
      <c r="P97" s="169"/>
      <c r="Q97" s="169"/>
      <c r="R97" s="169"/>
      <c r="S97" s="169"/>
      <c r="T97" s="169"/>
      <c r="U97" s="169"/>
      <c r="V97" s="169"/>
      <c r="W97" s="169"/>
    </row>
    <row r="98" spans="1:23" ht="17" thickBot="1"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row>
    <row r="99" spans="1:23" ht="17" thickTop="1" x14ac:dyDescent="0.2">
      <c r="A99" s="169"/>
      <c r="B99" s="2312" t="s">
        <v>1112</v>
      </c>
      <c r="C99" s="2314" t="s">
        <v>71</v>
      </c>
      <c r="D99" s="2315"/>
      <c r="E99" s="2310" t="s">
        <v>72</v>
      </c>
      <c r="F99" s="2316"/>
      <c r="G99" s="2310" t="s">
        <v>73</v>
      </c>
      <c r="H99" s="2316"/>
      <c r="I99" s="2310" t="s">
        <v>74</v>
      </c>
      <c r="J99" s="2316"/>
      <c r="K99" s="2310" t="s">
        <v>75</v>
      </c>
      <c r="L99" s="2311"/>
      <c r="M99" s="169"/>
      <c r="N99" s="169"/>
      <c r="O99" s="169"/>
      <c r="P99" s="169"/>
      <c r="Q99" s="169"/>
      <c r="R99" s="169"/>
      <c r="S99" s="169"/>
      <c r="T99" s="169"/>
      <c r="U99" s="169"/>
      <c r="V99" s="169"/>
      <c r="W99" s="169"/>
    </row>
    <row r="100" spans="1:23" ht="16" x14ac:dyDescent="0.2">
      <c r="A100" s="169"/>
      <c r="B100" s="2313"/>
      <c r="C100" s="533" t="s">
        <v>792</v>
      </c>
      <c r="D100" s="264" t="s">
        <v>1029</v>
      </c>
      <c r="E100" s="533" t="s">
        <v>792</v>
      </c>
      <c r="F100" s="264" t="s">
        <v>1029</v>
      </c>
      <c r="G100" s="533" t="s">
        <v>792</v>
      </c>
      <c r="H100" s="264" t="s">
        <v>1029</v>
      </c>
      <c r="I100" s="533" t="s">
        <v>792</v>
      </c>
      <c r="J100" s="264" t="s">
        <v>1029</v>
      </c>
      <c r="K100" s="533" t="s">
        <v>792</v>
      </c>
      <c r="L100" s="265" t="s">
        <v>1029</v>
      </c>
      <c r="M100" s="169"/>
      <c r="N100" s="169"/>
      <c r="O100" s="169"/>
      <c r="P100" s="169"/>
      <c r="Q100" s="169"/>
      <c r="R100" s="169"/>
      <c r="S100" s="169"/>
      <c r="T100" s="169"/>
      <c r="U100" s="169"/>
      <c r="V100" s="169"/>
      <c r="W100" s="169"/>
    </row>
    <row r="101" spans="1:23" ht="16" x14ac:dyDescent="0.2">
      <c r="A101" s="169"/>
      <c r="B101" s="513" t="s">
        <v>1030</v>
      </c>
      <c r="C101" s="534">
        <v>8060000</v>
      </c>
      <c r="D101" s="492">
        <v>12020000</v>
      </c>
      <c r="E101" s="534">
        <v>8288285.9355566287</v>
      </c>
      <c r="F101" s="492">
        <v>12336998.865877114</v>
      </c>
      <c r="G101" s="534">
        <v>8519099.4789626393</v>
      </c>
      <c r="H101" s="492">
        <v>12365192.677053036</v>
      </c>
      <c r="I101" s="534">
        <v>8744113.0776918661</v>
      </c>
      <c r="J101" s="492">
        <v>12348150.765320711</v>
      </c>
      <c r="K101" s="534">
        <v>8958888.0618449114</v>
      </c>
      <c r="L101" s="493">
        <v>12279462.670491993</v>
      </c>
      <c r="M101" s="169"/>
      <c r="N101" s="169"/>
      <c r="O101" s="169"/>
      <c r="P101" s="169"/>
      <c r="Q101" s="169"/>
      <c r="R101" s="169"/>
      <c r="S101" s="169"/>
      <c r="T101" s="169"/>
      <c r="U101" s="169"/>
      <c r="V101" s="169"/>
      <c r="W101" s="169"/>
    </row>
    <row r="102" spans="1:23" ht="16" x14ac:dyDescent="0.2">
      <c r="A102" s="169"/>
      <c r="B102" s="514" t="s">
        <v>1113</v>
      </c>
      <c r="C102" s="540">
        <v>0.01</v>
      </c>
      <c r="D102" s="498">
        <v>0.1</v>
      </c>
      <c r="E102" s="540">
        <v>0.01</v>
      </c>
      <c r="F102" s="498">
        <v>0.1</v>
      </c>
      <c r="G102" s="540">
        <v>0.01</v>
      </c>
      <c r="H102" s="498">
        <v>0.1</v>
      </c>
      <c r="I102" s="540">
        <v>0.01</v>
      </c>
      <c r="J102" s="498">
        <v>0.1</v>
      </c>
      <c r="K102" s="540">
        <v>0.01</v>
      </c>
      <c r="L102" s="499">
        <v>0.1</v>
      </c>
      <c r="M102" s="169"/>
      <c r="N102" s="169"/>
      <c r="O102" s="169"/>
      <c r="P102" s="169"/>
      <c r="Q102" s="169"/>
      <c r="R102" s="169"/>
      <c r="S102" s="169"/>
      <c r="T102" s="169"/>
      <c r="U102" s="169"/>
      <c r="V102" s="169"/>
      <c r="W102" s="169"/>
    </row>
    <row r="103" spans="1:23" ht="16" x14ac:dyDescent="0.2">
      <c r="A103" s="169"/>
      <c r="B103" s="514" t="s">
        <v>1114</v>
      </c>
      <c r="C103" s="541">
        <v>96225.490196078419</v>
      </c>
      <c r="D103" s="496">
        <v>962254.90196078422</v>
      </c>
      <c r="E103" s="541">
        <v>96225.490196078419</v>
      </c>
      <c r="F103" s="496">
        <v>962254.90196078422</v>
      </c>
      <c r="G103" s="541">
        <v>96225.490196078419</v>
      </c>
      <c r="H103" s="496">
        <v>962254.90196078422</v>
      </c>
      <c r="I103" s="541">
        <v>96225.490196078419</v>
      </c>
      <c r="J103" s="496">
        <v>962254.90196078422</v>
      </c>
      <c r="K103" s="541">
        <v>96225.490196078419</v>
      </c>
      <c r="L103" s="497">
        <v>962254.90196078422</v>
      </c>
      <c r="M103" s="169"/>
      <c r="N103" s="169"/>
      <c r="O103" s="169"/>
      <c r="P103" s="169"/>
      <c r="Q103" s="169"/>
      <c r="R103" s="169"/>
      <c r="S103" s="169"/>
      <c r="T103" s="169"/>
      <c r="U103" s="169"/>
      <c r="V103" s="169"/>
      <c r="W103" s="169"/>
    </row>
    <row r="104" spans="1:23" s="501" customFormat="1" ht="17" thickBot="1" x14ac:dyDescent="0.25">
      <c r="A104" s="500"/>
      <c r="B104" s="515" t="s">
        <v>1115</v>
      </c>
      <c r="C104" s="705">
        <v>1.3333333333333333</v>
      </c>
      <c r="D104" s="706">
        <v>1.3333333333333333</v>
      </c>
      <c r="E104" s="702">
        <v>1.3333333333333333</v>
      </c>
      <c r="F104" s="703">
        <v>1.3333333333333333</v>
      </c>
      <c r="G104" s="702">
        <v>1.3333333333333333</v>
      </c>
      <c r="H104" s="703">
        <v>1.3333333333333333</v>
      </c>
      <c r="I104" s="702">
        <v>1.3333333333333333</v>
      </c>
      <c r="J104" s="703">
        <v>1.3333333333333333</v>
      </c>
      <c r="K104" s="702">
        <v>1.3333333333333333</v>
      </c>
      <c r="L104" s="704">
        <v>1.3333333333333333</v>
      </c>
      <c r="M104" s="500"/>
      <c r="N104" s="500"/>
      <c r="O104" s="500"/>
      <c r="P104" s="500"/>
      <c r="Q104" s="500"/>
      <c r="R104" s="500"/>
      <c r="S104" s="500"/>
      <c r="T104" s="500"/>
      <c r="U104" s="500"/>
      <c r="V104" s="500"/>
      <c r="W104" s="500"/>
    </row>
    <row r="105" spans="1:23" s="503" customFormat="1" ht="17" thickTop="1" x14ac:dyDescent="0.2">
      <c r="A105" s="502"/>
      <c r="B105" s="2305" t="s">
        <v>1032</v>
      </c>
      <c r="C105" s="542">
        <v>3.9795488087708197E-3</v>
      </c>
      <c r="D105" s="504">
        <v>2.6684828118712815E-2</v>
      </c>
      <c r="E105" s="542">
        <v>3.8699392911978113E-3</v>
      </c>
      <c r="F105" s="504">
        <v>2.5999162152320083E-2</v>
      </c>
      <c r="G105" s="542">
        <v>3.7650884906204381E-3</v>
      </c>
      <c r="H105" s="504">
        <v>2.5939881598623978E-2</v>
      </c>
      <c r="I105" s="542">
        <v>3.6682008928410961E-3</v>
      </c>
      <c r="J105" s="504">
        <v>2.5975681709989012E-2</v>
      </c>
      <c r="K105" s="542">
        <v>3.5802616549366218E-3</v>
      </c>
      <c r="L105" s="505">
        <v>2.6120982863338651E-2</v>
      </c>
      <c r="M105" s="502"/>
      <c r="N105" s="502"/>
      <c r="O105" s="502"/>
      <c r="P105" s="502"/>
      <c r="Q105" s="502"/>
      <c r="R105" s="502"/>
      <c r="S105" s="502"/>
      <c r="T105" s="502"/>
      <c r="U105" s="502"/>
      <c r="V105" s="502"/>
      <c r="W105" s="502"/>
    </row>
    <row r="106" spans="1:23" s="503" customFormat="1" ht="16.25" customHeight="1" thickBot="1" x14ac:dyDescent="0.25">
      <c r="A106" s="502"/>
      <c r="B106" s="2306"/>
      <c r="C106" s="2307">
        <v>3.0664376927483635E-2</v>
      </c>
      <c r="D106" s="2309"/>
      <c r="E106" s="2307">
        <v>2.9869101443517895E-2</v>
      </c>
      <c r="F106" s="2309"/>
      <c r="G106" s="2307">
        <v>2.9704970089244415E-2</v>
      </c>
      <c r="H106" s="2309"/>
      <c r="I106" s="2307">
        <v>2.9643882602830109E-2</v>
      </c>
      <c r="J106" s="2309"/>
      <c r="K106" s="2307">
        <v>2.9701244518275272E-2</v>
      </c>
      <c r="L106" s="2308"/>
      <c r="M106" s="502"/>
      <c r="N106" s="502"/>
      <c r="O106" s="502"/>
      <c r="P106" s="502"/>
      <c r="Q106" s="502"/>
      <c r="R106" s="502"/>
      <c r="S106" s="502"/>
      <c r="T106" s="502"/>
      <c r="U106" s="502"/>
      <c r="V106" s="502"/>
      <c r="W106" s="502"/>
    </row>
    <row r="107" spans="1:23" ht="17" thickTop="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row>
    <row r="108" spans="1:23" s="516" customFormat="1" ht="16" x14ac:dyDescent="0.2">
      <c r="A108" s="596"/>
      <c r="B108" s="596"/>
      <c r="C108" s="596"/>
      <c r="D108" s="596"/>
      <c r="E108" s="596"/>
      <c r="F108" s="596"/>
      <c r="G108" s="596"/>
      <c r="H108" s="596"/>
      <c r="I108" s="596"/>
      <c r="J108" s="596"/>
      <c r="K108" s="596"/>
      <c r="L108" s="596"/>
      <c r="M108" s="596"/>
      <c r="N108" s="596"/>
      <c r="O108" s="596"/>
      <c r="P108" s="596"/>
      <c r="Q108" s="596"/>
      <c r="R108" s="596"/>
      <c r="S108" s="596"/>
      <c r="T108" s="596"/>
      <c r="U108" s="596"/>
      <c r="V108" s="596"/>
      <c r="W108" s="596"/>
    </row>
    <row r="109" spans="1:23" ht="17" thickBot="1" x14ac:dyDescent="0.25">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row>
    <row r="110" spans="1:23" ht="16" x14ac:dyDescent="0.2">
      <c r="A110" s="169"/>
      <c r="B110" s="180" t="s">
        <v>1116</v>
      </c>
      <c r="C110" s="181" t="s">
        <v>79</v>
      </c>
      <c r="D110" s="172"/>
      <c r="E110" s="692" t="s">
        <v>1117</v>
      </c>
      <c r="F110" s="694" t="s">
        <v>71</v>
      </c>
      <c r="G110" s="694" t="s">
        <v>72</v>
      </c>
      <c r="H110" s="694" t="s">
        <v>73</v>
      </c>
      <c r="I110" s="694" t="s">
        <v>74</v>
      </c>
      <c r="J110" s="695" t="s">
        <v>75</v>
      </c>
      <c r="K110" s="169"/>
      <c r="L110" s="169"/>
      <c r="M110" s="169"/>
      <c r="N110" s="169"/>
      <c r="O110" s="169"/>
      <c r="P110" s="169"/>
      <c r="Q110" s="169"/>
      <c r="R110" s="169"/>
      <c r="S110" s="169"/>
      <c r="T110" s="169"/>
      <c r="U110" s="169"/>
      <c r="V110" s="169"/>
      <c r="W110" s="169"/>
    </row>
    <row r="111" spans="1:23" ht="16" x14ac:dyDescent="0.2">
      <c r="A111" s="169"/>
      <c r="B111" s="182" t="s">
        <v>1118</v>
      </c>
      <c r="C111" s="203">
        <v>10000</v>
      </c>
      <c r="D111" s="169"/>
      <c r="E111" s="597" t="s">
        <v>1119</v>
      </c>
      <c r="F111" s="2253">
        <v>117754.95999999999</v>
      </c>
      <c r="G111" s="494">
        <v>117754.95999999999</v>
      </c>
      <c r="H111" s="2254">
        <v>281527.95999999996</v>
      </c>
      <c r="I111" s="2254">
        <v>316327.95999999996</v>
      </c>
      <c r="J111" s="2255">
        <v>316327.95999999996</v>
      </c>
      <c r="K111" s="169"/>
      <c r="L111" s="169"/>
      <c r="M111" s="169"/>
      <c r="N111" s="169"/>
      <c r="O111" s="169"/>
      <c r="P111" s="169"/>
      <c r="Q111" s="169"/>
      <c r="R111" s="169"/>
      <c r="S111" s="169"/>
      <c r="T111" s="169"/>
      <c r="U111" s="169"/>
      <c r="V111" s="169"/>
      <c r="W111" s="169"/>
    </row>
    <row r="112" spans="1:23" ht="17" thickBot="1" x14ac:dyDescent="0.25">
      <c r="A112" s="169"/>
      <c r="B112" s="182" t="s">
        <v>1120</v>
      </c>
      <c r="C112" s="203">
        <v>1500</v>
      </c>
      <c r="D112" s="169"/>
      <c r="E112" s="598" t="s">
        <v>1042</v>
      </c>
      <c r="F112" s="623">
        <v>0.25</v>
      </c>
      <c r="G112" s="623">
        <v>0.25</v>
      </c>
      <c r="H112" s="623">
        <v>0.25</v>
      </c>
      <c r="I112" s="623">
        <v>0.25</v>
      </c>
      <c r="J112" s="624">
        <v>0.25</v>
      </c>
      <c r="K112" s="169"/>
      <c r="L112" s="169"/>
      <c r="M112" s="169"/>
      <c r="N112" s="169"/>
      <c r="O112" s="169"/>
      <c r="P112" s="169"/>
      <c r="Q112" s="169"/>
      <c r="R112" s="169"/>
      <c r="S112" s="169"/>
      <c r="T112" s="169"/>
      <c r="U112" s="169"/>
      <c r="V112" s="169"/>
      <c r="W112" s="169"/>
    </row>
    <row r="113" spans="1:23" ht="18" thickTop="1" thickBot="1" x14ac:dyDescent="0.25">
      <c r="A113" s="169"/>
      <c r="B113" s="185" t="s">
        <v>1107</v>
      </c>
      <c r="C113" s="2237">
        <v>11500</v>
      </c>
      <c r="D113" s="169"/>
      <c r="E113" s="693" t="s">
        <v>1117</v>
      </c>
      <c r="F113" s="2241">
        <v>29438.739999999998</v>
      </c>
      <c r="G113" s="2241">
        <v>29438.739999999998</v>
      </c>
      <c r="H113" s="2241">
        <v>70381.989999999991</v>
      </c>
      <c r="I113" s="2241">
        <v>79081.989999999991</v>
      </c>
      <c r="J113" s="2241">
        <v>79081.989999999991</v>
      </c>
      <c r="K113" s="169"/>
      <c r="L113" s="169"/>
      <c r="M113" s="169"/>
      <c r="N113" s="169"/>
      <c r="O113" s="169"/>
      <c r="P113" s="169"/>
      <c r="Q113" s="169"/>
      <c r="R113" s="169"/>
      <c r="S113" s="169"/>
      <c r="T113" s="169"/>
      <c r="U113" s="169"/>
      <c r="V113" s="169"/>
      <c r="W113" s="169"/>
    </row>
    <row r="114" spans="1:23" ht="16" x14ac:dyDescent="0.2">
      <c r="A114" s="169"/>
      <c r="D114" s="169"/>
      <c r="G114" s="169"/>
      <c r="H114" s="169"/>
      <c r="I114" s="169"/>
      <c r="J114" s="169"/>
      <c r="K114" s="169"/>
      <c r="L114" s="169"/>
      <c r="M114" s="169"/>
      <c r="N114" s="169"/>
      <c r="O114" s="169"/>
      <c r="P114" s="169"/>
      <c r="Q114" s="169"/>
      <c r="R114" s="169"/>
      <c r="S114" s="169"/>
      <c r="T114" s="169"/>
      <c r="U114" s="169"/>
      <c r="V114" s="169"/>
      <c r="W114" s="169"/>
    </row>
    <row r="115" spans="1:23" ht="16" x14ac:dyDescent="0.2">
      <c r="A115" s="169"/>
      <c r="D115" s="169"/>
      <c r="K115" s="169"/>
      <c r="L115" s="169"/>
      <c r="M115" s="169"/>
      <c r="N115" s="169"/>
      <c r="O115" s="169"/>
      <c r="P115" s="169"/>
      <c r="Q115" s="169"/>
      <c r="R115" s="169"/>
      <c r="S115" s="169"/>
      <c r="T115" s="169"/>
      <c r="U115" s="169"/>
      <c r="V115" s="169"/>
      <c r="W115" s="169"/>
    </row>
    <row r="116" spans="1:23" ht="17" thickBot="1" x14ac:dyDescent="0.25">
      <c r="A116" s="169"/>
      <c r="D116" s="169"/>
      <c r="K116" s="169"/>
      <c r="L116" s="169"/>
      <c r="M116" s="169"/>
      <c r="N116" s="169"/>
      <c r="O116" s="169"/>
      <c r="P116" s="169"/>
      <c r="Q116" s="169"/>
      <c r="R116" s="169"/>
      <c r="S116" s="169"/>
      <c r="T116" s="169"/>
      <c r="U116" s="169"/>
      <c r="V116" s="169"/>
      <c r="W116" s="169"/>
    </row>
    <row r="117" spans="1:23" ht="18" thickTop="1" thickBot="1" x14ac:dyDescent="0.25">
      <c r="A117" s="169"/>
      <c r="B117" s="1306" t="s">
        <v>956</v>
      </c>
      <c r="C117"/>
      <c r="D117" s="169"/>
      <c r="K117" s="169"/>
      <c r="L117" s="169"/>
      <c r="M117" s="169"/>
      <c r="N117" s="169"/>
      <c r="O117" s="169"/>
      <c r="P117" s="169"/>
      <c r="Q117" s="169"/>
      <c r="R117" s="169"/>
      <c r="S117" s="169"/>
      <c r="T117" s="169"/>
      <c r="U117" s="169"/>
      <c r="V117" s="169"/>
      <c r="W117" s="169"/>
    </row>
    <row r="118" spans="1:23" ht="17" thickTop="1" x14ac:dyDescent="0.2">
      <c r="A118" s="169"/>
      <c r="B118" s="1307" t="s">
        <v>1121</v>
      </c>
      <c r="C118" s="1301">
        <v>0.5</v>
      </c>
      <c r="K118" s="169"/>
      <c r="L118" s="169"/>
      <c r="M118" s="169"/>
      <c r="N118" s="169"/>
      <c r="O118" s="169"/>
      <c r="P118" s="169"/>
      <c r="Q118" s="169"/>
      <c r="R118" s="169"/>
      <c r="S118" s="169"/>
      <c r="T118" s="169"/>
      <c r="U118" s="169"/>
      <c r="V118" s="169"/>
      <c r="W118" s="169"/>
    </row>
    <row r="119" spans="1:23" ht="17" thickBot="1" x14ac:dyDescent="0.25">
      <c r="A119" s="169"/>
      <c r="B119" s="1302" t="s">
        <v>1122</v>
      </c>
      <c r="C119" s="1303">
        <v>3</v>
      </c>
      <c r="D119" s="169"/>
      <c r="E119" s="169"/>
      <c r="F119" s="169"/>
      <c r="G119" s="169"/>
      <c r="H119" s="169"/>
      <c r="I119" s="169"/>
      <c r="J119" s="169"/>
      <c r="K119" s="169"/>
      <c r="L119" s="169"/>
      <c r="M119" s="169"/>
      <c r="N119" s="169"/>
      <c r="O119" s="169"/>
      <c r="P119" s="169"/>
      <c r="Q119" s="169"/>
      <c r="R119" s="169"/>
      <c r="S119" s="169"/>
      <c r="T119" s="169"/>
      <c r="U119" s="169"/>
      <c r="V119" s="169"/>
      <c r="W119" s="169"/>
    </row>
    <row r="120" spans="1:23" ht="17" thickTop="1" x14ac:dyDescent="0.2">
      <c r="A120" s="169"/>
      <c r="B120" s="1304" t="s">
        <v>1123</v>
      </c>
      <c r="C120" s="1305">
        <v>8060000</v>
      </c>
      <c r="D120" s="169"/>
      <c r="E120" s="169"/>
      <c r="F120" s="169"/>
      <c r="G120" s="169"/>
      <c r="H120" s="169"/>
      <c r="I120" s="169"/>
      <c r="J120" s="169"/>
      <c r="K120" s="169"/>
      <c r="L120" s="169"/>
      <c r="M120" s="169"/>
      <c r="N120" s="169"/>
      <c r="O120" s="169"/>
      <c r="P120" s="169"/>
      <c r="Q120" s="169"/>
      <c r="R120" s="169"/>
      <c r="S120" s="169"/>
      <c r="T120" s="169"/>
      <c r="U120" s="169"/>
      <c r="V120" s="169"/>
      <c r="W120" s="169"/>
    </row>
    <row r="121" spans="1:23" ht="17" thickBot="1" x14ac:dyDescent="0.25">
      <c r="A121" s="169"/>
      <c r="B121" s="1299" t="s">
        <v>1124</v>
      </c>
      <c r="C121" s="1300">
        <v>12020000</v>
      </c>
      <c r="D121" s="169"/>
      <c r="E121" s="169"/>
      <c r="F121" s="169"/>
      <c r="G121" s="169"/>
      <c r="H121" s="169"/>
      <c r="I121" s="169"/>
      <c r="J121" s="169"/>
      <c r="K121" s="169"/>
      <c r="L121" s="169"/>
      <c r="M121" s="169"/>
      <c r="N121" s="169"/>
      <c r="O121" s="169"/>
      <c r="P121" s="169"/>
      <c r="Q121" s="169"/>
      <c r="R121" s="169"/>
      <c r="S121" s="169"/>
      <c r="T121" s="169"/>
      <c r="U121" s="169"/>
      <c r="V121" s="169"/>
      <c r="W121" s="169"/>
    </row>
    <row r="122" spans="1:23" ht="18" thickTop="1" thickBot="1" x14ac:dyDescent="0.25">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row>
    <row r="123" spans="1:23" ht="18" thickTop="1" thickBot="1" x14ac:dyDescent="0.25">
      <c r="A123" s="169"/>
      <c r="B123" s="169"/>
      <c r="C123" s="1315" t="s">
        <v>71</v>
      </c>
      <c r="D123" s="1316" t="s">
        <v>72</v>
      </c>
      <c r="E123" s="1316" t="s">
        <v>73</v>
      </c>
      <c r="F123" s="1316" t="s">
        <v>74</v>
      </c>
      <c r="G123" s="1317" t="s">
        <v>75</v>
      </c>
      <c r="H123" s="169"/>
      <c r="I123" s="169"/>
      <c r="J123" s="169"/>
      <c r="K123" s="169"/>
      <c r="L123" s="169"/>
      <c r="M123" s="169"/>
      <c r="N123" s="169"/>
      <c r="O123" s="169"/>
      <c r="P123" s="169"/>
      <c r="Q123" s="169"/>
      <c r="R123" s="169"/>
      <c r="S123" s="169"/>
      <c r="T123" s="169"/>
      <c r="U123" s="169"/>
      <c r="V123" s="169"/>
      <c r="W123" s="169"/>
    </row>
    <row r="124" spans="1:23" s="600" customFormat="1" ht="17" thickTop="1" x14ac:dyDescent="0.2">
      <c r="A124" s="599"/>
      <c r="B124" s="1308" t="s">
        <v>1125</v>
      </c>
      <c r="C124" s="659">
        <v>0</v>
      </c>
      <c r="D124" s="2270">
        <v>23456.619929466717</v>
      </c>
      <c r="E124" s="2270">
        <v>30175.265066939501</v>
      </c>
      <c r="F124" s="2270">
        <v>39104.836875141649</v>
      </c>
      <c r="G124" s="2271">
        <v>62437.219429154946</v>
      </c>
      <c r="H124" s="599"/>
      <c r="I124" s="599"/>
      <c r="J124" s="599"/>
      <c r="K124" s="599"/>
      <c r="L124" s="599"/>
      <c r="M124" s="599"/>
      <c r="N124" s="599"/>
      <c r="O124" s="599"/>
      <c r="P124" s="599"/>
      <c r="Q124" s="599"/>
      <c r="R124" s="599"/>
      <c r="S124" s="599"/>
      <c r="T124" s="599"/>
      <c r="U124" s="599"/>
      <c r="V124" s="599"/>
      <c r="W124" s="599"/>
    </row>
    <row r="125" spans="1:23" ht="17" thickBot="1" x14ac:dyDescent="0.25">
      <c r="A125" s="169"/>
      <c r="B125" s="1309" t="s">
        <v>1126</v>
      </c>
      <c r="C125" s="659">
        <v>0</v>
      </c>
      <c r="D125" s="2270">
        <v>76490.263412865548</v>
      </c>
      <c r="E125" s="2270">
        <v>96159.190761694073</v>
      </c>
      <c r="F125" s="2270">
        <v>129280.68928438416</v>
      </c>
      <c r="G125" s="2271">
        <v>199452.68245586896</v>
      </c>
      <c r="H125" s="169"/>
      <c r="I125" s="169"/>
      <c r="J125" s="169"/>
      <c r="K125" s="169"/>
      <c r="L125" s="169"/>
      <c r="M125" s="169"/>
      <c r="N125" s="169"/>
      <c r="O125" s="169"/>
      <c r="P125" s="169"/>
      <c r="Q125" s="169"/>
      <c r="R125" s="169"/>
      <c r="S125" s="169"/>
      <c r="T125" s="169"/>
      <c r="U125" s="169"/>
      <c r="V125" s="169"/>
      <c r="W125" s="169"/>
    </row>
    <row r="126" spans="1:23" ht="17" thickTop="1" x14ac:dyDescent="0.2">
      <c r="A126" s="169"/>
      <c r="B126" s="1310" t="s">
        <v>1127</v>
      </c>
      <c r="C126" s="659">
        <v>0</v>
      </c>
      <c r="D126" s="1311">
        <v>2.9102506115963669E-3</v>
      </c>
      <c r="E126" s="1311">
        <v>3.7438294127716504E-3</v>
      </c>
      <c r="F126" s="1311">
        <v>4.8517167338885418E-3</v>
      </c>
      <c r="G126" s="285">
        <v>7.7465532790514822E-3</v>
      </c>
      <c r="H126" s="169"/>
      <c r="I126" s="169"/>
      <c r="J126" s="169"/>
      <c r="K126" s="169"/>
      <c r="L126" s="169"/>
      <c r="M126" s="169"/>
      <c r="N126" s="169"/>
      <c r="O126" s="169"/>
      <c r="P126" s="169"/>
      <c r="Q126" s="169"/>
      <c r="R126" s="169"/>
      <c r="S126" s="169"/>
      <c r="T126" s="169"/>
      <c r="U126" s="169"/>
      <c r="V126" s="169"/>
      <c r="W126" s="169"/>
    </row>
    <row r="127" spans="1:23" ht="17" thickBot="1" x14ac:dyDescent="0.25">
      <c r="A127" s="169"/>
      <c r="B127" s="1312" t="s">
        <v>1128</v>
      </c>
      <c r="C127" s="659">
        <v>0</v>
      </c>
      <c r="D127" s="1311">
        <v>6.3635826466610272E-3</v>
      </c>
      <c r="E127" s="1311">
        <v>7.9999326756817028E-3</v>
      </c>
      <c r="F127" s="1311">
        <v>1.0755464998700845E-2</v>
      </c>
      <c r="G127" s="285">
        <v>1.6593401202651327E-2</v>
      </c>
      <c r="H127" s="169"/>
      <c r="I127" s="169"/>
      <c r="J127" s="169"/>
      <c r="K127" s="169"/>
      <c r="L127" s="169"/>
      <c r="M127" s="169"/>
      <c r="N127" s="169"/>
      <c r="O127" s="169"/>
      <c r="P127" s="169"/>
      <c r="Q127" s="169"/>
      <c r="R127" s="169"/>
      <c r="S127" s="169"/>
      <c r="T127" s="169"/>
      <c r="U127" s="169"/>
      <c r="V127" s="169"/>
      <c r="W127" s="169"/>
    </row>
    <row r="128" spans="1:23" ht="17" thickBot="1" x14ac:dyDescent="0.25">
      <c r="A128" s="169"/>
      <c r="B128" s="1312" t="s">
        <v>1129</v>
      </c>
      <c r="C128" s="659">
        <v>0</v>
      </c>
      <c r="D128" s="2273">
        <v>15637.746619644478</v>
      </c>
      <c r="E128" s="2274">
        <v>20116.843377959667</v>
      </c>
      <c r="F128" s="2274">
        <v>26069.891250094432</v>
      </c>
      <c r="G128" s="2275">
        <v>41624.812952769964</v>
      </c>
      <c r="H128" s="169"/>
      <c r="I128" s="169"/>
      <c r="J128" s="169"/>
      <c r="K128" s="169"/>
      <c r="L128" s="169"/>
      <c r="M128" s="169"/>
      <c r="N128" s="169"/>
      <c r="O128" s="169"/>
      <c r="P128" s="169"/>
      <c r="Q128" s="169"/>
      <c r="R128" s="169"/>
      <c r="S128" s="169"/>
      <c r="T128" s="169"/>
      <c r="U128" s="169"/>
      <c r="V128" s="169"/>
      <c r="W128" s="169"/>
    </row>
    <row r="129" spans="1:23" ht="17" thickBot="1" x14ac:dyDescent="0.25">
      <c r="A129" s="169"/>
      <c r="B129" s="1313" t="s">
        <v>1130</v>
      </c>
      <c r="C129" s="1314">
        <v>0</v>
      </c>
      <c r="D129" s="2276">
        <v>50993.508941910368</v>
      </c>
      <c r="E129" s="2277">
        <v>64106.127174462716</v>
      </c>
      <c r="F129" s="2277">
        <v>86187.126189589442</v>
      </c>
      <c r="G129" s="2278">
        <v>132968.4549705793</v>
      </c>
      <c r="H129" s="169"/>
      <c r="I129" s="169"/>
      <c r="J129" s="169"/>
      <c r="K129" s="169"/>
      <c r="L129" s="169"/>
      <c r="M129" s="169"/>
      <c r="N129" s="169"/>
      <c r="O129" s="169"/>
      <c r="P129" s="169"/>
      <c r="Q129" s="169"/>
      <c r="R129" s="169"/>
      <c r="S129" s="169"/>
      <c r="T129" s="169"/>
      <c r="U129" s="169"/>
      <c r="V129" s="169"/>
      <c r="W129" s="169"/>
    </row>
    <row r="130" spans="1:23" ht="18" thickTop="1" thickBot="1" x14ac:dyDescent="0.25">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row>
    <row r="131" spans="1:23" ht="18" thickTop="1" thickBot="1" x14ac:dyDescent="0.25">
      <c r="A131" s="169"/>
      <c r="B131" s="1336" t="s">
        <v>1131</v>
      </c>
      <c r="C131" s="1334" t="s">
        <v>71</v>
      </c>
      <c r="D131" s="1334" t="s">
        <v>72</v>
      </c>
      <c r="E131" s="1334" t="s">
        <v>73</v>
      </c>
      <c r="F131" s="1334" t="s">
        <v>74</v>
      </c>
      <c r="G131" s="1332" t="s">
        <v>75</v>
      </c>
      <c r="H131" s="169"/>
      <c r="I131" s="169"/>
      <c r="J131" s="169"/>
      <c r="K131" s="169"/>
      <c r="L131" s="169"/>
      <c r="M131" s="169"/>
      <c r="N131" s="169"/>
      <c r="O131" s="169"/>
      <c r="P131" s="169"/>
      <c r="Q131" s="169"/>
      <c r="R131" s="169"/>
      <c r="S131" s="169"/>
      <c r="T131" s="169"/>
      <c r="U131" s="169"/>
      <c r="V131" s="169"/>
      <c r="W131" s="169"/>
    </row>
    <row r="132" spans="1:23" ht="17" thickBot="1" x14ac:dyDescent="0.25">
      <c r="A132" s="169"/>
      <c r="B132" s="1337" t="s">
        <v>1132</v>
      </c>
      <c r="C132" s="1335">
        <v>0.01</v>
      </c>
      <c r="D132" s="1335">
        <v>0.01</v>
      </c>
      <c r="E132" s="1335">
        <v>0.02</v>
      </c>
      <c r="F132" s="1335">
        <v>0.02</v>
      </c>
      <c r="G132" s="1333">
        <v>0.02</v>
      </c>
      <c r="H132" s="169"/>
      <c r="I132" s="169"/>
      <c r="J132" s="169"/>
      <c r="K132" s="169"/>
      <c r="L132" s="169"/>
      <c r="M132" s="169"/>
      <c r="N132" s="169"/>
      <c r="O132" s="169"/>
      <c r="P132" s="169"/>
      <c r="Q132" s="169"/>
      <c r="R132" s="169"/>
      <c r="S132" s="169"/>
      <c r="T132" s="169"/>
      <c r="U132" s="169"/>
      <c r="V132" s="169"/>
      <c r="W132" s="169"/>
    </row>
    <row r="133" spans="1:23" ht="17" thickTop="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row>
    <row r="134" spans="1:23" ht="16"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row>
    <row r="135" spans="1:23" ht="16"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row>
    <row r="136" spans="1:23" ht="16"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row>
    <row r="137" spans="1:23" ht="16"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row>
    <row r="138" spans="1:23" ht="16"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row>
    <row r="139" spans="1:23" ht="16"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row>
    <row r="140" spans="1:23" ht="16"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row>
    <row r="141" spans="1:23" ht="16"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row>
    <row r="142" spans="1:23" ht="16"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row>
    <row r="143" spans="1:23" ht="16"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row>
    <row r="144" spans="1:23" ht="16"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row>
    <row r="145" spans="1:23" ht="16"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row>
    <row r="146" spans="1:23" ht="16"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row>
    <row r="147" spans="1:23" ht="16"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row>
    <row r="148" spans="1:23" ht="16"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row>
    <row r="149" spans="1:23" ht="16"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row>
    <row r="150" spans="1:23" ht="16"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row>
    <row r="151" spans="1:23" ht="16"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row>
    <row r="152" spans="1:23" ht="16"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row>
    <row r="153" spans="1:23" ht="16"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row>
    <row r="154" spans="1:23" ht="16"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row>
    <row r="155" spans="1:23" ht="16"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row>
    <row r="156" spans="1:23" ht="16"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row>
    <row r="157" spans="1:23" ht="16"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row>
    <row r="158" spans="1:23" ht="16"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row>
    <row r="159" spans="1:23" ht="16"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row>
    <row r="160" spans="1:23" ht="16"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row>
    <row r="161" spans="1:23" ht="16"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row>
    <row r="162" spans="1:23" ht="16"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row>
    <row r="163" spans="1:23" ht="16"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row>
    <row r="164" spans="1:23" ht="16"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row>
    <row r="165" spans="1:23" ht="16"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row>
    <row r="166" spans="1:23" ht="16"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row>
    <row r="167" spans="1:23" ht="16"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row>
    <row r="168" spans="1:23" ht="16"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row>
    <row r="169" spans="1:23" ht="16"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row>
    <row r="170" spans="1:23" ht="16"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row>
    <row r="171" spans="1:23" ht="16"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row>
    <row r="172" spans="1:23" ht="16"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row>
    <row r="173" spans="1:23" ht="16"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row>
    <row r="174" spans="1:23" ht="16"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row>
    <row r="175" spans="1:23" ht="16"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row>
    <row r="176" spans="1:23" ht="16"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row>
    <row r="177" spans="1:23" ht="16"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row>
    <row r="178" spans="1:23" ht="16"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row>
    <row r="179" spans="1:23" ht="16"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row>
    <row r="180" spans="1:23" ht="16"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row>
    <row r="181" spans="1:23" ht="16"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row>
    <row r="182" spans="1:23" ht="16"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row>
    <row r="183" spans="1:23" ht="16"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row>
    <row r="184" spans="1:23" ht="16"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row>
    <row r="185" spans="1:23" ht="16"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row>
    <row r="186" spans="1:23" ht="16"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row>
    <row r="187" spans="1:23" ht="16"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row>
    <row r="188" spans="1:23" ht="16"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row>
    <row r="189" spans="1:23" ht="16"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row>
    <row r="190" spans="1:23" ht="16"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row>
    <row r="191" spans="1:23" ht="16"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row>
    <row r="192" spans="1:23" ht="16"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row>
    <row r="193" spans="1:23" ht="16"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row>
    <row r="194" spans="1:23" ht="16"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row>
    <row r="195" spans="1:23" ht="16"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row>
    <row r="196" spans="1:23" ht="16"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row>
    <row r="197" spans="1:23" ht="16"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row>
    <row r="198" spans="1:23" ht="16"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row>
    <row r="199" spans="1:23" ht="16"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row>
    <row r="200" spans="1:23" ht="16"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row>
    <row r="201" spans="1:23" ht="16"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row>
    <row r="202" spans="1:23" ht="16"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row>
    <row r="203" spans="1:23" ht="16"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row>
    <row r="204" spans="1:23" ht="16"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row>
    <row r="205" spans="1:23" ht="16"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row>
    <row r="206" spans="1:23" ht="16"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row>
    <row r="207" spans="1:23" ht="16"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row>
    <row r="208" spans="1:23" ht="16"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row>
    <row r="209" spans="1:23" ht="16"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row>
    <row r="210" spans="1:23" ht="16"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row>
    <row r="211" spans="1:23" ht="16"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row>
    <row r="212" spans="1:23" ht="16"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row>
    <row r="213" spans="1:23" ht="16"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row>
    <row r="214" spans="1:23" ht="16"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row>
    <row r="215" spans="1:23" ht="16"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row>
    <row r="216" spans="1:23" ht="16"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row>
    <row r="217" spans="1:23" ht="16"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row>
    <row r="218" spans="1:23" ht="16"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row>
    <row r="219" spans="1:23" ht="16"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row>
    <row r="220" spans="1:23" ht="16"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row>
    <row r="221" spans="1:23" ht="16"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row>
    <row r="222" spans="1:23" ht="16"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row>
    <row r="223" spans="1:23" ht="16"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row>
    <row r="224" spans="1:23" ht="16"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row>
    <row r="225" spans="1:23" ht="16"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row>
    <row r="226" spans="1:23" ht="16"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row>
    <row r="227" spans="1:23" ht="16"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row>
    <row r="228" spans="1:23" ht="16"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row>
    <row r="229" spans="1:23" ht="16"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row>
    <row r="230" spans="1:23" ht="16"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row>
    <row r="231" spans="1:23" ht="16"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row>
    <row r="232" spans="1:23" ht="16"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row>
    <row r="233" spans="1:23" ht="16"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row>
    <row r="234" spans="1:23" ht="16"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row>
    <row r="235" spans="1:23" ht="16"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row>
    <row r="236" spans="1:23" ht="16"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row>
    <row r="237" spans="1:23" ht="16"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row>
    <row r="238" spans="1:23" ht="16"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row>
    <row r="239" spans="1:23" ht="16"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row>
    <row r="240" spans="1:23" ht="16"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row>
    <row r="241" spans="1:23" ht="16"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row>
    <row r="242" spans="1:23" ht="16"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row>
    <row r="243" spans="1:23" ht="16"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row>
    <row r="244" spans="1:23" ht="16"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row>
    <row r="245" spans="1:23" ht="16"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row>
    <row r="246" spans="1:23" ht="16"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row>
    <row r="247" spans="1:23" ht="16"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row>
    <row r="248" spans="1:23" ht="16" x14ac:dyDescent="0.2">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row>
    <row r="249" spans="1:23" ht="16" x14ac:dyDescent="0.2">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row>
    <row r="250" spans="1:23" ht="16" x14ac:dyDescent="0.2">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row>
    <row r="251" spans="1:23" ht="16" x14ac:dyDescent="0.2">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row>
    <row r="252" spans="1:23" ht="16" x14ac:dyDescent="0.2">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row>
    <row r="253" spans="1:23" ht="16" x14ac:dyDescent="0.2">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row>
    <row r="254" spans="1:23" ht="16" x14ac:dyDescent="0.2">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row>
    <row r="255" spans="1:23" ht="16" x14ac:dyDescent="0.2">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row>
    <row r="256" spans="1:23" ht="16" x14ac:dyDescent="0.2">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row>
    <row r="257" spans="1:23" ht="16" x14ac:dyDescent="0.2">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row>
    <row r="258" spans="1:23" ht="16" x14ac:dyDescent="0.2">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row>
    <row r="259" spans="1:23" ht="16" x14ac:dyDescent="0.2">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row>
    <row r="260" spans="1:23" ht="16" x14ac:dyDescent="0.2">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row>
    <row r="261" spans="1:23" ht="16" x14ac:dyDescent="0.2">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row>
    <row r="262" spans="1:23" ht="16" x14ac:dyDescent="0.2">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row>
    <row r="263" spans="1:23" ht="16" x14ac:dyDescent="0.2">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row>
    <row r="264" spans="1:23" ht="16" x14ac:dyDescent="0.2">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row>
    <row r="265" spans="1:23" ht="16" x14ac:dyDescent="0.2">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row>
    <row r="266" spans="1:23" ht="16" x14ac:dyDescent="0.2">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row>
    <row r="267" spans="1:23" ht="16" x14ac:dyDescent="0.2">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row>
    <row r="268" spans="1:23" ht="16" x14ac:dyDescent="0.2">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row>
    <row r="269" spans="1:23" ht="16" x14ac:dyDescent="0.2">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row>
    <row r="270" spans="1:23" ht="16" x14ac:dyDescent="0.2">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row>
    <row r="271" spans="1:23" ht="16" x14ac:dyDescent="0.2">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row>
    <row r="272" spans="1:23" ht="16" x14ac:dyDescent="0.2">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row>
    <row r="273" spans="1:23" ht="16" x14ac:dyDescent="0.2">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row>
    <row r="274" spans="1:23" ht="16" x14ac:dyDescent="0.2">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row>
    <row r="275" spans="1:23" ht="16" x14ac:dyDescent="0.2">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row>
    <row r="276" spans="1:23" ht="16" x14ac:dyDescent="0.2">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row>
    <row r="277" spans="1:23" ht="16" x14ac:dyDescent="0.2">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row>
    <row r="278" spans="1:23" ht="16" x14ac:dyDescent="0.2">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row>
    <row r="279" spans="1:23" ht="16" x14ac:dyDescent="0.2">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row>
    <row r="280" spans="1:23" ht="16" x14ac:dyDescent="0.2">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row>
    <row r="281" spans="1:23" ht="16" x14ac:dyDescent="0.2">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row>
    <row r="282" spans="1:23" ht="16" x14ac:dyDescent="0.2">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row>
    <row r="283" spans="1:23" ht="16" x14ac:dyDescent="0.2">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row>
    <row r="284" spans="1:23" ht="16" x14ac:dyDescent="0.2">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row>
    <row r="285" spans="1:23" ht="16" x14ac:dyDescent="0.2">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row>
    <row r="286" spans="1:23" ht="16" x14ac:dyDescent="0.2">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row>
    <row r="287" spans="1:23" ht="16" x14ac:dyDescent="0.2">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row>
    <row r="288" spans="1:23" ht="16" x14ac:dyDescent="0.2">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row>
    <row r="289" spans="1:23" ht="16" x14ac:dyDescent="0.2">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row>
    <row r="290" spans="1:23" ht="16" x14ac:dyDescent="0.2">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row>
    <row r="291" spans="1:23" ht="16" x14ac:dyDescent="0.2">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row>
    <row r="292" spans="1:23" ht="16" x14ac:dyDescent="0.2">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row>
    <row r="293" spans="1:23" ht="16" x14ac:dyDescent="0.2">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row>
    <row r="294" spans="1:23" ht="16" x14ac:dyDescent="0.2">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row>
    <row r="295" spans="1:23" ht="16" x14ac:dyDescent="0.2">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row>
    <row r="296" spans="1:23" ht="16" x14ac:dyDescent="0.2">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row>
    <row r="297" spans="1:23" ht="16" x14ac:dyDescent="0.2">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row>
    <row r="298" spans="1:23" ht="16" x14ac:dyDescent="0.2">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row>
    <row r="299" spans="1:23" ht="16" x14ac:dyDescent="0.2">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row>
    <row r="300" spans="1:23" ht="16" x14ac:dyDescent="0.2">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row>
    <row r="301" spans="1:23" ht="16" x14ac:dyDescent="0.2">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row>
    <row r="302" spans="1:23" ht="16" x14ac:dyDescent="0.2">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row>
    <row r="303" spans="1:23" ht="16" x14ac:dyDescent="0.2">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row>
    <row r="304" spans="1:23" ht="16" x14ac:dyDescent="0.2">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row>
    <row r="305" spans="1:23" ht="16" x14ac:dyDescent="0.2">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row>
    <row r="306" spans="1:23" ht="16" x14ac:dyDescent="0.2">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row>
    <row r="307" spans="1:23" ht="16" x14ac:dyDescent="0.2">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row>
    <row r="308" spans="1:23" ht="16" x14ac:dyDescent="0.2">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row>
    <row r="309" spans="1:23" ht="16" x14ac:dyDescent="0.2">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row>
    <row r="310" spans="1:23" ht="16" x14ac:dyDescent="0.2">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row>
    <row r="311" spans="1:23" ht="16" x14ac:dyDescent="0.2">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row>
    <row r="312" spans="1:23" ht="16" x14ac:dyDescent="0.2">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row>
    <row r="313" spans="1:23" ht="16" x14ac:dyDescent="0.2">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row>
    <row r="314" spans="1:23" ht="16" x14ac:dyDescent="0.2">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row>
    <row r="315" spans="1:23" ht="16" x14ac:dyDescent="0.2">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row>
    <row r="316" spans="1:23" ht="16" x14ac:dyDescent="0.2">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row>
    <row r="317" spans="1:23" ht="16" x14ac:dyDescent="0.2">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row>
    <row r="318" spans="1:23" ht="16" x14ac:dyDescent="0.2">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row>
    <row r="319" spans="1:23" ht="16" x14ac:dyDescent="0.2">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row>
    <row r="320" spans="1:23" ht="16" x14ac:dyDescent="0.2">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row>
    <row r="321" spans="1:23" ht="16" x14ac:dyDescent="0.2">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row>
    <row r="322" spans="1:23" ht="16" x14ac:dyDescent="0.2">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row>
    <row r="323" spans="1:23" ht="16" x14ac:dyDescent="0.2">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row>
    <row r="324" spans="1:23" ht="16" x14ac:dyDescent="0.2">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row>
    <row r="325" spans="1:23" ht="16" x14ac:dyDescent="0.2">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row>
    <row r="326" spans="1:23" ht="16" x14ac:dyDescent="0.2">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row>
    <row r="327" spans="1:23" ht="16" x14ac:dyDescent="0.2">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row>
    <row r="328" spans="1:23" ht="16" x14ac:dyDescent="0.2">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row>
    <row r="329" spans="1:23" ht="16" x14ac:dyDescent="0.2">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row>
    <row r="330" spans="1:23" ht="16" x14ac:dyDescent="0.2">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row>
    <row r="331" spans="1:23" ht="16" x14ac:dyDescent="0.2">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row>
    <row r="332" spans="1:23" ht="16" x14ac:dyDescent="0.2">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row>
    <row r="333" spans="1:23" ht="16" x14ac:dyDescent="0.2">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row>
    <row r="334" spans="1:23" ht="16" x14ac:dyDescent="0.2">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row>
    <row r="335" spans="1:23" ht="16" x14ac:dyDescent="0.2">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row>
    <row r="336" spans="1:23" ht="16" x14ac:dyDescent="0.2">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row>
    <row r="337" spans="1:23" ht="16" x14ac:dyDescent="0.2">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row>
    <row r="338" spans="1:23" ht="16" x14ac:dyDescent="0.2">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row>
    <row r="339" spans="1:23" ht="16" x14ac:dyDescent="0.2">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row>
    <row r="340" spans="1:23" ht="16" x14ac:dyDescent="0.2">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row>
    <row r="341" spans="1:23" ht="16" x14ac:dyDescent="0.2">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row>
    <row r="342" spans="1:23" ht="16" x14ac:dyDescent="0.2">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row>
    <row r="343" spans="1:23" ht="16" x14ac:dyDescent="0.2">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row>
    <row r="344" spans="1:23" ht="16" x14ac:dyDescent="0.2">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row>
    <row r="345" spans="1:23" ht="16" x14ac:dyDescent="0.2">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row>
    <row r="346" spans="1:23" ht="16" x14ac:dyDescent="0.2">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row>
    <row r="347" spans="1:23" ht="16" x14ac:dyDescent="0.2">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row>
    <row r="348" spans="1:23" ht="16" x14ac:dyDescent="0.2">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row>
    <row r="349" spans="1:23" ht="16" x14ac:dyDescent="0.2">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row>
    <row r="350" spans="1:23" ht="16" x14ac:dyDescent="0.2">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row>
    <row r="351" spans="1:23" ht="16" x14ac:dyDescent="0.2">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row>
    <row r="352" spans="1:23" ht="16" x14ac:dyDescent="0.2">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row>
    <row r="353" spans="1:23" ht="16" x14ac:dyDescent="0.2">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row>
    <row r="354" spans="1:23" ht="16" x14ac:dyDescent="0.2">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row>
    <row r="355" spans="1:23" ht="16" x14ac:dyDescent="0.2">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row>
    <row r="356" spans="1:23" ht="16" x14ac:dyDescent="0.2">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row>
    <row r="357" spans="1:23" ht="16" x14ac:dyDescent="0.2">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row>
    <row r="358" spans="1:23" ht="16" x14ac:dyDescent="0.2">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row>
    <row r="359" spans="1:23" ht="16" x14ac:dyDescent="0.2">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row>
    <row r="360" spans="1:23" ht="16" x14ac:dyDescent="0.2">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row>
    <row r="361" spans="1:23" ht="16" x14ac:dyDescent="0.2">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row>
    <row r="362" spans="1:23" ht="16" x14ac:dyDescent="0.2">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row>
    <row r="363" spans="1:23" ht="16" x14ac:dyDescent="0.2">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row>
    <row r="364" spans="1:23" ht="16" x14ac:dyDescent="0.2">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row>
    <row r="365" spans="1:23" ht="16" x14ac:dyDescent="0.2">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row>
    <row r="366" spans="1:23" ht="16" x14ac:dyDescent="0.2">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row>
    <row r="367" spans="1:23" ht="16" x14ac:dyDescent="0.2">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row>
    <row r="368" spans="1:23" ht="16" x14ac:dyDescent="0.2">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row>
    <row r="369" spans="1:23" ht="16" x14ac:dyDescent="0.2">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row>
    <row r="370" spans="1:23" ht="16" x14ac:dyDescent="0.2">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row>
    <row r="371" spans="1:23" ht="16" x14ac:dyDescent="0.2">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row>
    <row r="372" spans="1:23" ht="16" x14ac:dyDescent="0.2">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row>
    <row r="373" spans="1:23" ht="16" x14ac:dyDescent="0.2">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row>
    <row r="374" spans="1:23" ht="16" x14ac:dyDescent="0.2">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row>
    <row r="375" spans="1:23" ht="16" x14ac:dyDescent="0.2">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row>
    <row r="376" spans="1:23" ht="16" x14ac:dyDescent="0.2">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row>
    <row r="377" spans="1:23" ht="16" x14ac:dyDescent="0.2">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row>
    <row r="378" spans="1:23" ht="16" x14ac:dyDescent="0.2">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row>
    <row r="379" spans="1:23" ht="16" x14ac:dyDescent="0.2">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row>
    <row r="380" spans="1:23" ht="16" x14ac:dyDescent="0.2">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row>
    <row r="381" spans="1:23" ht="16" x14ac:dyDescent="0.2">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row>
    <row r="382" spans="1:23" ht="16" x14ac:dyDescent="0.2">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row>
    <row r="383" spans="1:23" ht="16" x14ac:dyDescent="0.2">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row>
    <row r="384" spans="1:23" ht="16" x14ac:dyDescent="0.2">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row>
    <row r="385" spans="1:23" ht="16" x14ac:dyDescent="0.2">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row>
    <row r="386" spans="1:23" ht="16" x14ac:dyDescent="0.2">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row>
    <row r="387" spans="1:23" ht="16" x14ac:dyDescent="0.2">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row>
    <row r="388" spans="1:23" ht="16" x14ac:dyDescent="0.2">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row>
    <row r="389" spans="1:23" ht="16" x14ac:dyDescent="0.2">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row>
    <row r="390" spans="1:23" ht="16" x14ac:dyDescent="0.2">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row>
    <row r="391" spans="1:23" ht="16" x14ac:dyDescent="0.2">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row>
    <row r="392" spans="1:23" ht="16" x14ac:dyDescent="0.2">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row>
    <row r="393" spans="1:23" ht="16" x14ac:dyDescent="0.2">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row>
    <row r="394" spans="1:23" ht="16" x14ac:dyDescent="0.2">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row>
    <row r="395" spans="1:23" ht="16" x14ac:dyDescent="0.2">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row>
    <row r="396" spans="1:23" ht="16" x14ac:dyDescent="0.2">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row>
    <row r="397" spans="1:23" ht="16" x14ac:dyDescent="0.2">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row>
    <row r="398" spans="1:23" ht="16" x14ac:dyDescent="0.2">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row>
    <row r="399" spans="1:23" ht="16" x14ac:dyDescent="0.2">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row>
    <row r="400" spans="1:23" ht="16" x14ac:dyDescent="0.2">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row>
    <row r="401" spans="1:23" ht="16" x14ac:dyDescent="0.2">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row>
    <row r="402" spans="1:23" ht="16" x14ac:dyDescent="0.2">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row>
    <row r="403" spans="1:23" ht="16" x14ac:dyDescent="0.2">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row>
    <row r="404" spans="1:23" ht="16" x14ac:dyDescent="0.2">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row>
    <row r="405" spans="1:23" ht="16" x14ac:dyDescent="0.2">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row>
    <row r="406" spans="1:23" ht="16" x14ac:dyDescent="0.2">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row>
    <row r="407" spans="1:23" ht="16" x14ac:dyDescent="0.2">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row>
    <row r="408" spans="1:23" ht="16" x14ac:dyDescent="0.2">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row>
    <row r="409" spans="1:23" ht="16" x14ac:dyDescent="0.2">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row>
    <row r="410" spans="1:23" ht="16" x14ac:dyDescent="0.2">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row>
    <row r="411" spans="1:23" ht="16" x14ac:dyDescent="0.2">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row>
    <row r="412" spans="1:23" ht="16" x14ac:dyDescent="0.2">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row>
    <row r="413" spans="1:23" ht="16" x14ac:dyDescent="0.2">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row>
    <row r="414" spans="1:23" ht="16" x14ac:dyDescent="0.2">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row>
    <row r="415" spans="1:23" ht="16" x14ac:dyDescent="0.2">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row>
    <row r="416" spans="1:23" ht="16" x14ac:dyDescent="0.2">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row>
    <row r="417" spans="1:23" ht="16" x14ac:dyDescent="0.2">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row>
    <row r="418" spans="1:23" ht="16" x14ac:dyDescent="0.2">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row>
    <row r="419" spans="1:23" ht="16" x14ac:dyDescent="0.2">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row>
    <row r="420" spans="1:23" ht="16" x14ac:dyDescent="0.2">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row>
    <row r="421" spans="1:23" ht="16" x14ac:dyDescent="0.2">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row>
    <row r="422" spans="1:23" ht="16" x14ac:dyDescent="0.2">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row>
    <row r="423" spans="1:23" ht="16" x14ac:dyDescent="0.2">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row>
    <row r="424" spans="1:23" ht="16" x14ac:dyDescent="0.2">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row>
    <row r="425" spans="1:23" ht="16" x14ac:dyDescent="0.2">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row>
    <row r="426" spans="1:23" ht="16" x14ac:dyDescent="0.2">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row>
    <row r="427" spans="1:23" ht="16" x14ac:dyDescent="0.2">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row>
    <row r="428" spans="1:23" ht="16" x14ac:dyDescent="0.2">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row>
    <row r="429" spans="1:23" ht="16" x14ac:dyDescent="0.2">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row>
    <row r="430" spans="1:23" ht="16" x14ac:dyDescent="0.2">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row>
    <row r="431" spans="1:23" ht="16" x14ac:dyDescent="0.2">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row>
    <row r="432" spans="1:23" ht="16" x14ac:dyDescent="0.2">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row>
    <row r="433" spans="1:23" ht="16" x14ac:dyDescent="0.2">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row>
    <row r="434" spans="1:23" ht="16" x14ac:dyDescent="0.2">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row>
    <row r="435" spans="1:23" ht="16" x14ac:dyDescent="0.2">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row>
    <row r="436" spans="1:23" ht="16" x14ac:dyDescent="0.2">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row>
    <row r="437" spans="1:23" ht="16" x14ac:dyDescent="0.2">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row>
    <row r="438" spans="1:23" ht="16" x14ac:dyDescent="0.2">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row>
    <row r="439" spans="1:23" ht="16" x14ac:dyDescent="0.2">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row>
    <row r="440" spans="1:23" ht="16" x14ac:dyDescent="0.2">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row>
    <row r="441" spans="1:23" ht="16" x14ac:dyDescent="0.2">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row>
    <row r="442" spans="1:23" ht="16" x14ac:dyDescent="0.2">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row>
    <row r="443" spans="1:23" ht="16" x14ac:dyDescent="0.2">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row>
    <row r="444" spans="1:23" ht="16" x14ac:dyDescent="0.2">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row>
    <row r="445" spans="1:23" ht="16" x14ac:dyDescent="0.2">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row>
    <row r="446" spans="1:23" ht="16" x14ac:dyDescent="0.2">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row>
    <row r="447" spans="1:23" ht="16" x14ac:dyDescent="0.2">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row>
    <row r="448" spans="1:23" ht="16" x14ac:dyDescent="0.2">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row>
    <row r="449" spans="1:23" ht="16" x14ac:dyDescent="0.2">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row>
    <row r="450" spans="1:23" ht="16" x14ac:dyDescent="0.2">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row>
    <row r="451" spans="1:23" ht="16" x14ac:dyDescent="0.2">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row>
    <row r="452" spans="1:23" ht="16" x14ac:dyDescent="0.2">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row>
    <row r="453" spans="1:23" ht="16" x14ac:dyDescent="0.2">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row>
    <row r="454" spans="1:23" ht="16" x14ac:dyDescent="0.2">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row>
    <row r="455" spans="1:23" ht="16" x14ac:dyDescent="0.2">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row>
    <row r="456" spans="1:23" ht="16" x14ac:dyDescent="0.2">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row>
    <row r="457" spans="1:23" ht="16" x14ac:dyDescent="0.2">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row>
    <row r="458" spans="1:23" ht="16" x14ac:dyDescent="0.2">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row>
    <row r="459" spans="1:23" ht="16" x14ac:dyDescent="0.2">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row>
    <row r="460" spans="1:23" ht="16" x14ac:dyDescent="0.2">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row>
    <row r="461" spans="1:23" ht="16" x14ac:dyDescent="0.2">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row>
    <row r="462" spans="1:23" ht="16" x14ac:dyDescent="0.2">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row>
    <row r="463" spans="1:23" ht="16" x14ac:dyDescent="0.2">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row>
    <row r="464" spans="1:23" ht="16" x14ac:dyDescent="0.2">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row>
    <row r="465" spans="1:23" ht="16" x14ac:dyDescent="0.2">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row>
    <row r="466" spans="1:23" ht="16" x14ac:dyDescent="0.2">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row>
    <row r="467" spans="1:23" ht="16" x14ac:dyDescent="0.2">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row>
    <row r="468" spans="1:23" ht="16" x14ac:dyDescent="0.2">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row>
    <row r="469" spans="1:23" ht="16" x14ac:dyDescent="0.2">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row>
    <row r="470" spans="1:23" ht="16" x14ac:dyDescent="0.2">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row>
    <row r="471" spans="1:23" ht="16" x14ac:dyDescent="0.2">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row>
    <row r="472" spans="1:23" ht="16" x14ac:dyDescent="0.2">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row>
    <row r="473" spans="1:23" ht="16" x14ac:dyDescent="0.2">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row>
    <row r="474" spans="1:23" ht="16" x14ac:dyDescent="0.2">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row>
    <row r="475" spans="1:23" ht="16" x14ac:dyDescent="0.2">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row>
    <row r="476" spans="1:23" ht="16" x14ac:dyDescent="0.2">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row>
    <row r="477" spans="1:23" ht="16" x14ac:dyDescent="0.2">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row>
    <row r="478" spans="1:23" ht="16" x14ac:dyDescent="0.2">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row>
    <row r="479" spans="1:23" ht="16" x14ac:dyDescent="0.2">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row>
    <row r="480" spans="1:23" ht="16" x14ac:dyDescent="0.2">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row>
    <row r="481" spans="1:23" ht="16" x14ac:dyDescent="0.2">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row>
    <row r="482" spans="1:23" ht="16" x14ac:dyDescent="0.2">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row>
    <row r="483" spans="1:23" ht="16" x14ac:dyDescent="0.2">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row>
    <row r="484" spans="1:23" ht="16" x14ac:dyDescent="0.2">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row>
    <row r="485" spans="1:23" ht="16" x14ac:dyDescent="0.2">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row>
    <row r="486" spans="1:23" ht="16" x14ac:dyDescent="0.2">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row>
    <row r="487" spans="1:23" ht="16" x14ac:dyDescent="0.2">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row>
    <row r="488" spans="1:23" ht="16" x14ac:dyDescent="0.2">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row>
    <row r="489" spans="1:23" ht="16" x14ac:dyDescent="0.2">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row>
    <row r="490" spans="1:23" ht="16" x14ac:dyDescent="0.2">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row>
    <row r="491" spans="1:23" ht="16" x14ac:dyDescent="0.2">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row>
    <row r="492" spans="1:23" ht="16" x14ac:dyDescent="0.2">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row>
    <row r="493" spans="1:23" ht="16" x14ac:dyDescent="0.2">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row>
    <row r="494" spans="1:23" ht="16" x14ac:dyDescent="0.2">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row>
    <row r="495" spans="1:23" ht="16" x14ac:dyDescent="0.2">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row>
    <row r="496" spans="1:23" ht="16" x14ac:dyDescent="0.2">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row>
    <row r="497" spans="1:23" ht="16" x14ac:dyDescent="0.2">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row>
    <row r="498" spans="1:23" ht="16" x14ac:dyDescent="0.2">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row>
    <row r="499" spans="1:23" ht="16" x14ac:dyDescent="0.2">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row>
    <row r="500" spans="1:23" ht="16" x14ac:dyDescent="0.2">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row>
    <row r="501" spans="1:23" ht="16" x14ac:dyDescent="0.2">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row>
    <row r="502" spans="1:23" ht="16" x14ac:dyDescent="0.2">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row>
    <row r="503" spans="1:23" ht="16" x14ac:dyDescent="0.2">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row>
    <row r="504" spans="1:23" ht="16" x14ac:dyDescent="0.2">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row>
    <row r="505" spans="1:23" ht="16" x14ac:dyDescent="0.2">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row>
    <row r="506" spans="1:23" ht="16" x14ac:dyDescent="0.2">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row>
    <row r="507" spans="1:23" ht="16" x14ac:dyDescent="0.2">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row>
    <row r="508" spans="1:23" ht="16" x14ac:dyDescent="0.2">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row>
    <row r="509" spans="1:23" ht="16" x14ac:dyDescent="0.2">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row>
    <row r="510" spans="1:23" ht="16" x14ac:dyDescent="0.2">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row>
    <row r="511" spans="1:23" ht="16" x14ac:dyDescent="0.2">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row>
    <row r="512" spans="1:23" ht="16" x14ac:dyDescent="0.2">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row>
    <row r="513" spans="1:23" ht="16" x14ac:dyDescent="0.2">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row>
    <row r="514" spans="1:23" ht="16" x14ac:dyDescent="0.2">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row>
    <row r="515" spans="1:23" ht="16" x14ac:dyDescent="0.2">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row>
    <row r="516" spans="1:23" ht="16" x14ac:dyDescent="0.2">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row>
    <row r="517" spans="1:23" ht="16" x14ac:dyDescent="0.2">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row>
    <row r="518" spans="1:23" ht="16" x14ac:dyDescent="0.2">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row>
    <row r="519" spans="1:23" ht="16" x14ac:dyDescent="0.2">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row>
    <row r="520" spans="1:23" ht="16" x14ac:dyDescent="0.2">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row>
    <row r="521" spans="1:23" ht="16" x14ac:dyDescent="0.2">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row>
    <row r="522" spans="1:23" ht="16" x14ac:dyDescent="0.2">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row>
    <row r="523" spans="1:23" ht="16" x14ac:dyDescent="0.2">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row>
    <row r="524" spans="1:23" ht="16" x14ac:dyDescent="0.2">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row>
    <row r="525" spans="1:23" ht="16" x14ac:dyDescent="0.2">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row>
    <row r="526" spans="1:23" ht="16" x14ac:dyDescent="0.2">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row>
    <row r="527" spans="1:23" ht="16" x14ac:dyDescent="0.2">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row>
    <row r="528" spans="1:23" ht="16" x14ac:dyDescent="0.2">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row>
    <row r="529" spans="1:23" ht="16" x14ac:dyDescent="0.2">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row>
    <row r="530" spans="1:23" ht="16" x14ac:dyDescent="0.2">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row>
    <row r="531" spans="1:23" ht="16" x14ac:dyDescent="0.2">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row>
    <row r="532" spans="1:23" ht="16" x14ac:dyDescent="0.2">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row>
    <row r="533" spans="1:23" ht="16" x14ac:dyDescent="0.2">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row>
    <row r="534" spans="1:23" ht="16" x14ac:dyDescent="0.2">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row>
    <row r="535" spans="1:23" ht="16" x14ac:dyDescent="0.2">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row>
    <row r="536" spans="1:23" ht="16" x14ac:dyDescent="0.2">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row>
    <row r="537" spans="1:23" ht="16" x14ac:dyDescent="0.2">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row>
    <row r="538" spans="1:23" ht="16" x14ac:dyDescent="0.2">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row>
    <row r="539" spans="1:23" ht="16" x14ac:dyDescent="0.2">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row>
    <row r="540" spans="1:23" ht="16" x14ac:dyDescent="0.2">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row>
    <row r="541" spans="1:23" ht="16" x14ac:dyDescent="0.2">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row>
    <row r="542" spans="1:23" ht="16" x14ac:dyDescent="0.2">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row>
    <row r="543" spans="1:23" ht="16" x14ac:dyDescent="0.2">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row>
    <row r="544" spans="1:23" ht="16" x14ac:dyDescent="0.2">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row>
    <row r="545" spans="1:23" ht="16" x14ac:dyDescent="0.2">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row>
    <row r="546" spans="1:23" ht="16" x14ac:dyDescent="0.2">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row>
    <row r="547" spans="1:23" ht="16" x14ac:dyDescent="0.2">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row>
    <row r="548" spans="1:23" ht="16" x14ac:dyDescent="0.2">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row>
    <row r="549" spans="1:23" ht="16" x14ac:dyDescent="0.2">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row>
    <row r="550" spans="1:23" ht="16" x14ac:dyDescent="0.2">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row>
    <row r="551" spans="1:23" ht="16" x14ac:dyDescent="0.2">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row>
    <row r="552" spans="1:23" ht="16" x14ac:dyDescent="0.2">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row>
    <row r="553" spans="1:23" ht="16" x14ac:dyDescent="0.2">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row>
    <row r="554" spans="1:23" ht="16" x14ac:dyDescent="0.2">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row>
    <row r="555" spans="1:23" ht="16" x14ac:dyDescent="0.2">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row>
    <row r="556" spans="1:23" ht="16" x14ac:dyDescent="0.2">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row>
    <row r="557" spans="1:23" ht="16" x14ac:dyDescent="0.2">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row>
    <row r="558" spans="1:23" ht="16" x14ac:dyDescent="0.2">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row>
    <row r="559" spans="1:23" ht="16" x14ac:dyDescent="0.2">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row>
    <row r="560" spans="1:23" ht="16" x14ac:dyDescent="0.2">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row>
    <row r="561" spans="1:23" ht="16" x14ac:dyDescent="0.2">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row>
    <row r="562" spans="1:23" ht="16" x14ac:dyDescent="0.2">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row>
    <row r="563" spans="1:23" ht="16" x14ac:dyDescent="0.2">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row>
    <row r="564" spans="1:23" ht="16" x14ac:dyDescent="0.2">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row>
    <row r="565" spans="1:23" ht="16" x14ac:dyDescent="0.2">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row>
    <row r="566" spans="1:23" ht="16" x14ac:dyDescent="0.2">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row>
    <row r="567" spans="1:23" ht="16" x14ac:dyDescent="0.2">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row>
    <row r="568" spans="1:23" ht="16" x14ac:dyDescent="0.2">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row>
    <row r="569" spans="1:23" ht="16" x14ac:dyDescent="0.2">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row>
    <row r="570" spans="1:23" ht="16" x14ac:dyDescent="0.2">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row>
    <row r="571" spans="1:23" ht="16" x14ac:dyDescent="0.2">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row>
    <row r="572" spans="1:23" ht="16" x14ac:dyDescent="0.2">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row>
    <row r="573" spans="1:23" ht="16" x14ac:dyDescent="0.2">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row>
    <row r="574" spans="1:23" ht="16" x14ac:dyDescent="0.2">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row>
    <row r="575" spans="1:23" ht="16" x14ac:dyDescent="0.2">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row>
    <row r="576" spans="1:23" ht="16" x14ac:dyDescent="0.2">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row>
    <row r="577" spans="1:23" ht="16" x14ac:dyDescent="0.2">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row>
    <row r="578" spans="1:23" ht="16" x14ac:dyDescent="0.2">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row>
    <row r="579" spans="1:23" ht="16" x14ac:dyDescent="0.2">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row>
    <row r="580" spans="1:23" ht="16" x14ac:dyDescent="0.2">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row>
    <row r="581" spans="1:23" ht="16" x14ac:dyDescent="0.2">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row>
    <row r="582" spans="1:23" ht="16" x14ac:dyDescent="0.2">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row>
    <row r="583" spans="1:23" ht="16" x14ac:dyDescent="0.2">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row>
    <row r="584" spans="1:23" ht="16" x14ac:dyDescent="0.2">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row>
    <row r="585" spans="1:23" ht="16" x14ac:dyDescent="0.2">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row>
    <row r="586" spans="1:23" ht="16" x14ac:dyDescent="0.2">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row>
    <row r="587" spans="1:23" ht="16" x14ac:dyDescent="0.2">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row>
    <row r="588" spans="1:23" ht="16" x14ac:dyDescent="0.2">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row>
    <row r="589" spans="1:23" ht="16" x14ac:dyDescent="0.2">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row>
    <row r="590" spans="1:23" ht="16" x14ac:dyDescent="0.2">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row>
    <row r="591" spans="1:23" ht="16" x14ac:dyDescent="0.2">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row>
    <row r="592" spans="1:23" ht="16" x14ac:dyDescent="0.2">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row>
    <row r="593" spans="1:23" ht="16" x14ac:dyDescent="0.2">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row>
    <row r="594" spans="1:23" ht="16" x14ac:dyDescent="0.2">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row>
    <row r="595" spans="1:23" ht="16" x14ac:dyDescent="0.2">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row>
    <row r="596" spans="1:23" ht="16" x14ac:dyDescent="0.2">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row>
    <row r="597" spans="1:23" ht="16" x14ac:dyDescent="0.2">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row>
    <row r="598" spans="1:23" ht="16" x14ac:dyDescent="0.2">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row>
    <row r="599" spans="1:23" ht="16" x14ac:dyDescent="0.2">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row>
    <row r="600" spans="1:23" ht="16" x14ac:dyDescent="0.2">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row>
    <row r="601" spans="1:23" ht="16" x14ac:dyDescent="0.2">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row>
    <row r="602" spans="1:23" ht="16" x14ac:dyDescent="0.2">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row>
    <row r="603" spans="1:23" ht="16" x14ac:dyDescent="0.2">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row>
    <row r="604" spans="1:23" ht="16" x14ac:dyDescent="0.2">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row>
    <row r="605" spans="1:23" ht="16" x14ac:dyDescent="0.2">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row>
    <row r="606" spans="1:23" ht="16" x14ac:dyDescent="0.2">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row>
    <row r="607" spans="1:23" ht="16" x14ac:dyDescent="0.2">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row>
    <row r="608" spans="1:23" ht="16" x14ac:dyDescent="0.2">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row>
    <row r="609" spans="1:23" ht="16" x14ac:dyDescent="0.2">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row>
    <row r="610" spans="1:23" ht="16" x14ac:dyDescent="0.2">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row>
    <row r="611" spans="1:23" ht="16" x14ac:dyDescent="0.2">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row>
    <row r="612" spans="1:23" ht="16" x14ac:dyDescent="0.2">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row>
    <row r="613" spans="1:23" ht="16" x14ac:dyDescent="0.2">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row>
    <row r="614" spans="1:23" ht="16" x14ac:dyDescent="0.2">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row>
    <row r="615" spans="1:23" ht="16" x14ac:dyDescent="0.2">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row>
    <row r="616" spans="1:23" ht="16" x14ac:dyDescent="0.2">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row>
    <row r="617" spans="1:23" ht="16" x14ac:dyDescent="0.2">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row>
    <row r="618" spans="1:23" ht="16" x14ac:dyDescent="0.2">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row>
    <row r="619" spans="1:23" ht="16" x14ac:dyDescent="0.2">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row>
    <row r="620" spans="1:23" ht="16" x14ac:dyDescent="0.2">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row>
    <row r="621" spans="1:23" ht="16" x14ac:dyDescent="0.2">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row>
    <row r="622" spans="1:23" ht="16" x14ac:dyDescent="0.2">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row>
    <row r="623" spans="1:23" ht="16" x14ac:dyDescent="0.2">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row>
    <row r="624" spans="1:23" ht="16" x14ac:dyDescent="0.2">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row>
    <row r="625" spans="1:23" ht="16" x14ac:dyDescent="0.2">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row>
    <row r="626" spans="1:23" ht="16" x14ac:dyDescent="0.2">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row>
    <row r="627" spans="1:23" ht="16" x14ac:dyDescent="0.2">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row>
    <row r="628" spans="1:23" ht="16" x14ac:dyDescent="0.2">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row>
    <row r="629" spans="1:23" ht="16" x14ac:dyDescent="0.2">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row>
    <row r="630" spans="1:23" ht="16" x14ac:dyDescent="0.2">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row>
    <row r="631" spans="1:23" ht="16" x14ac:dyDescent="0.2">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row>
    <row r="632" spans="1:23" ht="16" x14ac:dyDescent="0.2">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row>
    <row r="633" spans="1:23" ht="16" x14ac:dyDescent="0.2">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row>
    <row r="634" spans="1:23" ht="16" x14ac:dyDescent="0.2">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row>
    <row r="635" spans="1:23" ht="16" x14ac:dyDescent="0.2">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row>
    <row r="636" spans="1:23" ht="16" x14ac:dyDescent="0.2">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row>
    <row r="637" spans="1:23" ht="16" x14ac:dyDescent="0.2">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row>
    <row r="638" spans="1:23" ht="16" x14ac:dyDescent="0.2">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row>
    <row r="639" spans="1:23" ht="16" x14ac:dyDescent="0.2">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row>
    <row r="640" spans="1:23" ht="16" x14ac:dyDescent="0.2">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row>
    <row r="641" spans="1:23" ht="16" x14ac:dyDescent="0.2">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row>
    <row r="642" spans="1:23" ht="16" x14ac:dyDescent="0.2">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row>
    <row r="643" spans="1:23" ht="16" x14ac:dyDescent="0.2">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row>
    <row r="644" spans="1:23" ht="16" x14ac:dyDescent="0.2">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row>
    <row r="645" spans="1:23" ht="16" x14ac:dyDescent="0.2">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row>
    <row r="646" spans="1:23" ht="16" x14ac:dyDescent="0.2">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row>
    <row r="647" spans="1:23" ht="16" x14ac:dyDescent="0.2">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row>
    <row r="648" spans="1:23" ht="16" x14ac:dyDescent="0.2">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row>
    <row r="649" spans="1:23" ht="16" x14ac:dyDescent="0.2">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row>
    <row r="650" spans="1:23" ht="16" x14ac:dyDescent="0.2">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row>
    <row r="651" spans="1:23" ht="16" x14ac:dyDescent="0.2">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row>
    <row r="652" spans="1:23" ht="16" x14ac:dyDescent="0.2">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row>
    <row r="653" spans="1:23" ht="16" x14ac:dyDescent="0.2">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row>
    <row r="654" spans="1:23" ht="16" x14ac:dyDescent="0.2">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row>
    <row r="655" spans="1:23" ht="16" x14ac:dyDescent="0.2">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row>
    <row r="656" spans="1:23" ht="16" x14ac:dyDescent="0.2">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row>
    <row r="657" spans="1:23" ht="16" x14ac:dyDescent="0.2">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row>
    <row r="658" spans="1:23" ht="16" x14ac:dyDescent="0.2">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row>
    <row r="659" spans="1:23" ht="16" x14ac:dyDescent="0.2">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row>
    <row r="660" spans="1:23" ht="16" x14ac:dyDescent="0.2">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row>
    <row r="661" spans="1:23" ht="16" x14ac:dyDescent="0.2">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row>
    <row r="662" spans="1:23" ht="16" x14ac:dyDescent="0.2">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row>
    <row r="663" spans="1:23" ht="16" x14ac:dyDescent="0.2">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row>
    <row r="664" spans="1:23" ht="16" x14ac:dyDescent="0.2">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row>
    <row r="665" spans="1:23" ht="16" x14ac:dyDescent="0.2">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row>
    <row r="666" spans="1:23" ht="16" x14ac:dyDescent="0.2">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row>
    <row r="667" spans="1:23" ht="16" x14ac:dyDescent="0.2">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row>
    <row r="668" spans="1:23" ht="16" x14ac:dyDescent="0.2">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row>
    <row r="669" spans="1:23" ht="16" x14ac:dyDescent="0.2">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row>
    <row r="670" spans="1:23" ht="16" x14ac:dyDescent="0.2">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row>
    <row r="671" spans="1:23" ht="16" x14ac:dyDescent="0.2">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row>
    <row r="672" spans="1:23" ht="16" x14ac:dyDescent="0.2">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row>
    <row r="673" spans="1:23" ht="16" x14ac:dyDescent="0.2">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row>
    <row r="674" spans="1:23" ht="16" x14ac:dyDescent="0.2">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row>
    <row r="675" spans="1:23" ht="16" x14ac:dyDescent="0.2">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row>
    <row r="676" spans="1:23" ht="16" x14ac:dyDescent="0.2">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row>
    <row r="677" spans="1:23" ht="16" x14ac:dyDescent="0.2">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row>
    <row r="678" spans="1:23" ht="16" x14ac:dyDescent="0.2">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row>
    <row r="679" spans="1:23" ht="16" x14ac:dyDescent="0.2">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row>
    <row r="680" spans="1:23" ht="16" x14ac:dyDescent="0.2">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row>
    <row r="681" spans="1:23" ht="16" x14ac:dyDescent="0.2">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row>
    <row r="682" spans="1:23" ht="16" x14ac:dyDescent="0.2">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row>
    <row r="683" spans="1:23" ht="16" x14ac:dyDescent="0.2">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row>
    <row r="684" spans="1:23" ht="16" x14ac:dyDescent="0.2">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row>
    <row r="685" spans="1:23" ht="16" x14ac:dyDescent="0.2">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row>
    <row r="686" spans="1:23" ht="16" x14ac:dyDescent="0.2">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row>
    <row r="687" spans="1:23" ht="16" x14ac:dyDescent="0.2">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row>
    <row r="688" spans="1:23" ht="16" x14ac:dyDescent="0.2">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row>
    <row r="689" spans="1:23" ht="16" x14ac:dyDescent="0.2">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row>
    <row r="690" spans="1:23" ht="16" x14ac:dyDescent="0.2">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row>
    <row r="691" spans="1:23" ht="16" x14ac:dyDescent="0.2">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row>
    <row r="692" spans="1:23" ht="16" x14ac:dyDescent="0.2">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row>
    <row r="693" spans="1:23" ht="16" x14ac:dyDescent="0.2">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row>
    <row r="694" spans="1:23" ht="16" x14ac:dyDescent="0.2">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row>
    <row r="695" spans="1:23" ht="16" x14ac:dyDescent="0.2">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row>
    <row r="696" spans="1:23" ht="16" x14ac:dyDescent="0.2">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row>
    <row r="697" spans="1:23" ht="16" x14ac:dyDescent="0.2">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row>
    <row r="698" spans="1:23" ht="16" x14ac:dyDescent="0.2">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row>
    <row r="699" spans="1:23" ht="16" x14ac:dyDescent="0.2">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row>
    <row r="700" spans="1:23" ht="16" x14ac:dyDescent="0.2">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row>
    <row r="701" spans="1:23" ht="16" x14ac:dyDescent="0.2">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row>
    <row r="702" spans="1:23" ht="16" x14ac:dyDescent="0.2">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row>
    <row r="703" spans="1:23" ht="16" x14ac:dyDescent="0.2">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row>
    <row r="704" spans="1:23" ht="16" x14ac:dyDescent="0.2">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row>
    <row r="705" spans="1:23" ht="16" x14ac:dyDescent="0.2">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row>
    <row r="706" spans="1:23" ht="16" x14ac:dyDescent="0.2">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row>
    <row r="707" spans="1:23" ht="16" x14ac:dyDescent="0.2">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row>
    <row r="708" spans="1:23" ht="16" x14ac:dyDescent="0.2">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row>
    <row r="709" spans="1:23" ht="16" x14ac:dyDescent="0.2">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row>
    <row r="710" spans="1:23" ht="16" x14ac:dyDescent="0.2">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row>
    <row r="711" spans="1:23" ht="16" x14ac:dyDescent="0.2">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row>
    <row r="712" spans="1:23" ht="16" x14ac:dyDescent="0.2">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row>
    <row r="713" spans="1:23" ht="16" x14ac:dyDescent="0.2">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row>
    <row r="714" spans="1:23" ht="16" x14ac:dyDescent="0.2">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row>
    <row r="715" spans="1:23" ht="16" x14ac:dyDescent="0.2">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row>
    <row r="716" spans="1:23" ht="16" x14ac:dyDescent="0.2">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row>
    <row r="717" spans="1:23" ht="16" x14ac:dyDescent="0.2">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row>
    <row r="718" spans="1:23" ht="16" x14ac:dyDescent="0.2">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row>
    <row r="719" spans="1:23" ht="16" x14ac:dyDescent="0.2">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row>
    <row r="720" spans="1:23" ht="16" x14ac:dyDescent="0.2">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row>
    <row r="721" spans="1:23" ht="16" x14ac:dyDescent="0.2">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row>
    <row r="722" spans="1:23" ht="16" x14ac:dyDescent="0.2">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row>
    <row r="723" spans="1:23" ht="16" x14ac:dyDescent="0.2">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row>
    <row r="724" spans="1:23" ht="16" x14ac:dyDescent="0.2">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row>
    <row r="725" spans="1:23" ht="16" x14ac:dyDescent="0.2">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row>
    <row r="726" spans="1:23" ht="16" x14ac:dyDescent="0.2">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row>
    <row r="727" spans="1:23" ht="16" x14ac:dyDescent="0.2">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row>
    <row r="728" spans="1:23" ht="16" x14ac:dyDescent="0.2">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row>
    <row r="729" spans="1:23" ht="16" x14ac:dyDescent="0.2">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row>
    <row r="730" spans="1:23" ht="16" x14ac:dyDescent="0.2">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row>
    <row r="731" spans="1:23" ht="16" x14ac:dyDescent="0.2">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row>
    <row r="732" spans="1:23" ht="16" x14ac:dyDescent="0.2">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row>
    <row r="733" spans="1:23" ht="16" x14ac:dyDescent="0.2">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row>
    <row r="734" spans="1:23" ht="16" x14ac:dyDescent="0.2">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row>
    <row r="735" spans="1:23" ht="16" x14ac:dyDescent="0.2">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row>
    <row r="736" spans="1:23" ht="16" x14ac:dyDescent="0.2">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row>
    <row r="737" spans="1:23" ht="16" x14ac:dyDescent="0.2">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row>
    <row r="738" spans="1:23" ht="16" x14ac:dyDescent="0.2">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row>
    <row r="739" spans="1:23" ht="16" x14ac:dyDescent="0.2">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row>
    <row r="740" spans="1:23" ht="16" x14ac:dyDescent="0.2">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row>
    <row r="741" spans="1:23" ht="16" x14ac:dyDescent="0.2">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row>
    <row r="742" spans="1:23" ht="16" x14ac:dyDescent="0.2">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row>
    <row r="743" spans="1:23" ht="16" x14ac:dyDescent="0.2">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row>
    <row r="744" spans="1:23" ht="16" x14ac:dyDescent="0.2">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row>
    <row r="745" spans="1:23" ht="16" x14ac:dyDescent="0.2">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row>
    <row r="746" spans="1:23" ht="16" x14ac:dyDescent="0.2">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row>
    <row r="747" spans="1:23" ht="16" x14ac:dyDescent="0.2">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row>
    <row r="748" spans="1:23" ht="16" x14ac:dyDescent="0.2">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row>
    <row r="749" spans="1:23" ht="16" x14ac:dyDescent="0.2">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row>
    <row r="750" spans="1:23" ht="16" x14ac:dyDescent="0.2">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row>
    <row r="751" spans="1:23" ht="16" x14ac:dyDescent="0.2">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row>
    <row r="752" spans="1:23" ht="16" x14ac:dyDescent="0.2">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row>
    <row r="753" spans="1:23" ht="16" x14ac:dyDescent="0.2">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row>
    <row r="754" spans="1:23" ht="16" x14ac:dyDescent="0.2">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row>
    <row r="755" spans="1:23" ht="16" x14ac:dyDescent="0.2">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row>
    <row r="756" spans="1:23" ht="16" x14ac:dyDescent="0.2">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row>
    <row r="757" spans="1:23" ht="16" x14ac:dyDescent="0.2">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row>
    <row r="758" spans="1:23" ht="16" x14ac:dyDescent="0.2">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row>
    <row r="759" spans="1:23" ht="16" x14ac:dyDescent="0.2">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row>
    <row r="760" spans="1:23" ht="16" x14ac:dyDescent="0.2">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row>
    <row r="761" spans="1:23" ht="16" x14ac:dyDescent="0.2">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row>
    <row r="762" spans="1:23" ht="16" x14ac:dyDescent="0.2">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row>
    <row r="763" spans="1:23" ht="16" x14ac:dyDescent="0.2">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row>
    <row r="764" spans="1:23" ht="16" x14ac:dyDescent="0.2">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row>
    <row r="765" spans="1:23" ht="16" x14ac:dyDescent="0.2">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row>
    <row r="766" spans="1:23" ht="16" x14ac:dyDescent="0.2">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row>
    <row r="767" spans="1:23" ht="16" x14ac:dyDescent="0.2">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row>
    <row r="768" spans="1:23" ht="16" x14ac:dyDescent="0.2">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row>
    <row r="769" spans="1:23" ht="16" x14ac:dyDescent="0.2">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row>
    <row r="770" spans="1:23" ht="16" x14ac:dyDescent="0.2">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row>
    <row r="771" spans="1:23" ht="16" x14ac:dyDescent="0.2">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row>
    <row r="772" spans="1:23" ht="16" x14ac:dyDescent="0.2">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row>
    <row r="773" spans="1:23" ht="16" x14ac:dyDescent="0.2">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row>
    <row r="774" spans="1:23" ht="16" x14ac:dyDescent="0.2">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row>
    <row r="775" spans="1:23" ht="16" x14ac:dyDescent="0.2">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row>
    <row r="776" spans="1:23" ht="16" x14ac:dyDescent="0.2">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row>
    <row r="777" spans="1:23" ht="16" x14ac:dyDescent="0.2">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row>
    <row r="778" spans="1:23" ht="16" x14ac:dyDescent="0.2">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row>
    <row r="779" spans="1:23" ht="16" x14ac:dyDescent="0.2">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row>
    <row r="780" spans="1:23" ht="16" x14ac:dyDescent="0.2">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row>
    <row r="781" spans="1:23" ht="16" x14ac:dyDescent="0.2">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row>
    <row r="782" spans="1:23" ht="16" x14ac:dyDescent="0.2">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row>
    <row r="783" spans="1:23" ht="16" x14ac:dyDescent="0.2">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row>
    <row r="784" spans="1:23" ht="16" x14ac:dyDescent="0.2">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row>
    <row r="785" spans="1:23" ht="16" x14ac:dyDescent="0.2">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row>
    <row r="786" spans="1:23" ht="16" x14ac:dyDescent="0.2">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row>
    <row r="787" spans="1:23" ht="16" x14ac:dyDescent="0.2">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row>
    <row r="788" spans="1:23" ht="16" x14ac:dyDescent="0.2">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row>
    <row r="789" spans="1:23" ht="16" x14ac:dyDescent="0.2">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row>
    <row r="790" spans="1:23" ht="16" x14ac:dyDescent="0.2">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row>
    <row r="791" spans="1:23" ht="16" x14ac:dyDescent="0.2">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row>
    <row r="792" spans="1:23" ht="16" x14ac:dyDescent="0.2">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row>
    <row r="793" spans="1:23" ht="16" x14ac:dyDescent="0.2">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row>
    <row r="794" spans="1:23" ht="16" x14ac:dyDescent="0.2">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row>
    <row r="795" spans="1:23" ht="16" x14ac:dyDescent="0.2">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row>
    <row r="796" spans="1:23" ht="16" x14ac:dyDescent="0.2">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row>
    <row r="797" spans="1:23" ht="16" x14ac:dyDescent="0.2">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row>
    <row r="798" spans="1:23" ht="16" x14ac:dyDescent="0.2">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row>
    <row r="799" spans="1:23" ht="16" x14ac:dyDescent="0.2">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row>
    <row r="800" spans="1:23" ht="16" x14ac:dyDescent="0.2">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row>
    <row r="801" spans="1:23" ht="16" x14ac:dyDescent="0.2">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row>
    <row r="802" spans="1:23" ht="16" x14ac:dyDescent="0.2">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row>
    <row r="803" spans="1:23" ht="16" x14ac:dyDescent="0.2">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row>
    <row r="804" spans="1:23" ht="16" x14ac:dyDescent="0.2">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row>
    <row r="805" spans="1:23" ht="16" x14ac:dyDescent="0.2">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row>
    <row r="806" spans="1:23" ht="16" x14ac:dyDescent="0.2">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row>
    <row r="807" spans="1:23" ht="16" x14ac:dyDescent="0.2">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row>
    <row r="808" spans="1:23" ht="16" x14ac:dyDescent="0.2">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row>
    <row r="809" spans="1:23" ht="16" x14ac:dyDescent="0.2">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row>
    <row r="810" spans="1:23" ht="16" x14ac:dyDescent="0.2">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row>
    <row r="811" spans="1:23" ht="16" x14ac:dyDescent="0.2">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row>
    <row r="812" spans="1:23" ht="16" x14ac:dyDescent="0.2">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row>
    <row r="813" spans="1:23" ht="16" x14ac:dyDescent="0.2">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row>
    <row r="814" spans="1:23" ht="16" x14ac:dyDescent="0.2">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row>
    <row r="815" spans="1:23" ht="16" x14ac:dyDescent="0.2">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row>
    <row r="816" spans="1:23" ht="16" x14ac:dyDescent="0.2">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row>
    <row r="817" spans="1:23" ht="16" x14ac:dyDescent="0.2">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row>
    <row r="818" spans="1:23" ht="16" x14ac:dyDescent="0.2">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row>
    <row r="819" spans="1:23" ht="16" x14ac:dyDescent="0.2">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row>
    <row r="820" spans="1:23" ht="16" x14ac:dyDescent="0.2">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row>
    <row r="821" spans="1:23" ht="16" x14ac:dyDescent="0.2">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row>
    <row r="822" spans="1:23" ht="16" x14ac:dyDescent="0.2">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row>
    <row r="823" spans="1:23" ht="16" x14ac:dyDescent="0.2">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row>
    <row r="824" spans="1:23" ht="16" x14ac:dyDescent="0.2">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row>
    <row r="825" spans="1:23" ht="16" x14ac:dyDescent="0.2">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row>
    <row r="826" spans="1:23" ht="16" x14ac:dyDescent="0.2">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row>
    <row r="827" spans="1:23" ht="16" x14ac:dyDescent="0.2">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row>
    <row r="828" spans="1:23" ht="16" x14ac:dyDescent="0.2">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row>
    <row r="829" spans="1:23" ht="16" x14ac:dyDescent="0.2">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row>
    <row r="830" spans="1:23" ht="16" x14ac:dyDescent="0.2">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row>
    <row r="831" spans="1:23" ht="16" x14ac:dyDescent="0.2">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row>
    <row r="832" spans="1:23" ht="16" x14ac:dyDescent="0.2">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row>
    <row r="833" spans="1:23" ht="16" x14ac:dyDescent="0.2">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row>
    <row r="834" spans="1:23" ht="16" x14ac:dyDescent="0.2">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row>
    <row r="835" spans="1:23" ht="16" x14ac:dyDescent="0.2">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row>
    <row r="836" spans="1:23" ht="16" x14ac:dyDescent="0.2">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row>
    <row r="837" spans="1:23" ht="16" x14ac:dyDescent="0.2">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row>
    <row r="838" spans="1:23" ht="16" x14ac:dyDescent="0.2">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row>
    <row r="839" spans="1:23" ht="16" x14ac:dyDescent="0.2">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row>
    <row r="840" spans="1:23" ht="16" x14ac:dyDescent="0.2">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row>
    <row r="841" spans="1:23" ht="16" x14ac:dyDescent="0.2">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row>
    <row r="842" spans="1:23" ht="16" x14ac:dyDescent="0.2">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row>
    <row r="843" spans="1:23" ht="16" x14ac:dyDescent="0.2">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row>
    <row r="844" spans="1:23" ht="16" x14ac:dyDescent="0.2">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row>
    <row r="845" spans="1:23" ht="16" x14ac:dyDescent="0.2">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row>
    <row r="846" spans="1:23" ht="16" x14ac:dyDescent="0.2">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row>
    <row r="847" spans="1:23" ht="16" x14ac:dyDescent="0.2">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row>
    <row r="848" spans="1:23" ht="16" x14ac:dyDescent="0.2">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row>
    <row r="849" spans="1:23" ht="16" x14ac:dyDescent="0.2">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row>
    <row r="850" spans="1:23" ht="16" x14ac:dyDescent="0.2">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row>
    <row r="851" spans="1:23" ht="16" x14ac:dyDescent="0.2">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row>
    <row r="852" spans="1:23" ht="16" x14ac:dyDescent="0.2">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row>
    <row r="853" spans="1:23" ht="16" x14ac:dyDescent="0.2">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row>
    <row r="854" spans="1:23" ht="16" x14ac:dyDescent="0.2">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row>
    <row r="855" spans="1:23" ht="16" x14ac:dyDescent="0.2">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row>
    <row r="856" spans="1:23" ht="16" x14ac:dyDescent="0.2">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row>
    <row r="857" spans="1:23" ht="16" x14ac:dyDescent="0.2">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row>
    <row r="858" spans="1:23" ht="16" x14ac:dyDescent="0.2">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row>
    <row r="859" spans="1:23" ht="16" x14ac:dyDescent="0.2">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row>
    <row r="860" spans="1:23" ht="16" x14ac:dyDescent="0.2">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row>
    <row r="861" spans="1:23" ht="16" x14ac:dyDescent="0.2">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row>
    <row r="862" spans="1:23" ht="16" x14ac:dyDescent="0.2">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row>
    <row r="863" spans="1:23" ht="16" x14ac:dyDescent="0.2">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row>
    <row r="864" spans="1:23" ht="16" x14ac:dyDescent="0.2">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row>
    <row r="865" spans="1:23" ht="16" x14ac:dyDescent="0.2">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row>
    <row r="866" spans="1:23" ht="16" x14ac:dyDescent="0.2">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row>
    <row r="867" spans="1:23" ht="16" x14ac:dyDescent="0.2">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row>
    <row r="868" spans="1:23" ht="16" x14ac:dyDescent="0.2">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row>
    <row r="869" spans="1:23" ht="16" x14ac:dyDescent="0.2">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row>
    <row r="870" spans="1:23" ht="16" x14ac:dyDescent="0.2">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row>
    <row r="871" spans="1:23" ht="16" x14ac:dyDescent="0.2">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row>
    <row r="872" spans="1:23" ht="16" x14ac:dyDescent="0.2">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row>
    <row r="873" spans="1:23" ht="16" x14ac:dyDescent="0.2">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row>
    <row r="874" spans="1:23" ht="16" x14ac:dyDescent="0.2">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row>
    <row r="875" spans="1:23" ht="16" x14ac:dyDescent="0.2">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row>
    <row r="876" spans="1:23" ht="16" x14ac:dyDescent="0.2">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row>
    <row r="877" spans="1:23" ht="16" x14ac:dyDescent="0.2">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row>
    <row r="878" spans="1:23" ht="16" x14ac:dyDescent="0.2">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row>
    <row r="879" spans="1:23" ht="16" x14ac:dyDescent="0.2">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row>
    <row r="880" spans="1:23" ht="16" x14ac:dyDescent="0.2">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row>
    <row r="881" spans="1:23" ht="16" x14ac:dyDescent="0.2">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row>
    <row r="882" spans="1:23" ht="16" x14ac:dyDescent="0.2">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row>
    <row r="883" spans="1:23" ht="16" x14ac:dyDescent="0.2">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row>
    <row r="884" spans="1:23" ht="16" x14ac:dyDescent="0.2">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row>
    <row r="885" spans="1:23" ht="16" x14ac:dyDescent="0.2">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row>
    <row r="886" spans="1:23" ht="16" x14ac:dyDescent="0.2">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row>
    <row r="887" spans="1:23" ht="16" x14ac:dyDescent="0.2">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row>
    <row r="888" spans="1:23" ht="16" x14ac:dyDescent="0.2">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row>
    <row r="889" spans="1:23" ht="16" x14ac:dyDescent="0.2">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row>
    <row r="890" spans="1:23" ht="16" x14ac:dyDescent="0.2">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row>
    <row r="891" spans="1:23" ht="16" x14ac:dyDescent="0.2">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row>
    <row r="892" spans="1:23" ht="16" x14ac:dyDescent="0.2">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row>
    <row r="893" spans="1:23" ht="16" x14ac:dyDescent="0.2">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row>
    <row r="894" spans="1:23" ht="16" x14ac:dyDescent="0.2">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row>
    <row r="895" spans="1:23" ht="16" x14ac:dyDescent="0.2">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row>
    <row r="896" spans="1:23" ht="16" x14ac:dyDescent="0.2">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row>
    <row r="897" spans="1:23" ht="16" x14ac:dyDescent="0.2">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row>
    <row r="898" spans="1:23" ht="16" x14ac:dyDescent="0.2">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row>
    <row r="899" spans="1:23" ht="16" x14ac:dyDescent="0.2">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row>
    <row r="900" spans="1:23" ht="16" x14ac:dyDescent="0.2">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row>
    <row r="901" spans="1:23" ht="16" x14ac:dyDescent="0.2">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row>
    <row r="902" spans="1:23" ht="16" x14ac:dyDescent="0.2">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row>
    <row r="903" spans="1:23" ht="16" x14ac:dyDescent="0.2">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row>
    <row r="904" spans="1:23" ht="16" x14ac:dyDescent="0.2">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row>
    <row r="905" spans="1:23" ht="16" x14ac:dyDescent="0.2">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row>
    <row r="906" spans="1:23" ht="16" x14ac:dyDescent="0.2">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row>
    <row r="907" spans="1:23" ht="16" x14ac:dyDescent="0.2">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row>
    <row r="908" spans="1:23" ht="16" x14ac:dyDescent="0.2">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row>
    <row r="909" spans="1:23" ht="16" x14ac:dyDescent="0.2">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row>
    <row r="910" spans="1:23" ht="16" x14ac:dyDescent="0.2">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row>
    <row r="911" spans="1:23" ht="16" x14ac:dyDescent="0.2">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row>
    <row r="912" spans="1:23" ht="16" x14ac:dyDescent="0.2">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row>
    <row r="913" spans="1:23" ht="16" x14ac:dyDescent="0.2">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row>
    <row r="914" spans="1:23" ht="16" x14ac:dyDescent="0.2">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row>
    <row r="915" spans="1:23" ht="16" x14ac:dyDescent="0.2">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row>
    <row r="916" spans="1:23" ht="16" x14ac:dyDescent="0.2">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row>
    <row r="917" spans="1:23" ht="16" x14ac:dyDescent="0.2">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row>
    <row r="918" spans="1:23" ht="16" x14ac:dyDescent="0.2">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row>
    <row r="919" spans="1:23" ht="16" x14ac:dyDescent="0.2">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row>
    <row r="920" spans="1:23" ht="16" x14ac:dyDescent="0.2">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row>
    <row r="921" spans="1:23" ht="16" x14ac:dyDescent="0.2">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row>
    <row r="922" spans="1:23" ht="16" x14ac:dyDescent="0.2">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row>
    <row r="923" spans="1:23" ht="16" x14ac:dyDescent="0.2">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row>
    <row r="924" spans="1:23" ht="16" x14ac:dyDescent="0.2">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row>
    <row r="925" spans="1:23" ht="16" x14ac:dyDescent="0.2">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row>
    <row r="926" spans="1:23" ht="16" x14ac:dyDescent="0.2">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row>
    <row r="927" spans="1:23" ht="16" x14ac:dyDescent="0.2">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row>
    <row r="928" spans="1:23" ht="16" x14ac:dyDescent="0.2">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row>
    <row r="929" spans="1:23" ht="16" x14ac:dyDescent="0.2">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row>
    <row r="930" spans="1:23" ht="16" x14ac:dyDescent="0.2">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row>
    <row r="931" spans="1:23" ht="16" x14ac:dyDescent="0.2">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row>
    <row r="932" spans="1:23" ht="16" x14ac:dyDescent="0.2">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row>
    <row r="933" spans="1:23" ht="16" x14ac:dyDescent="0.2">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row>
    <row r="934" spans="1:23" ht="16" x14ac:dyDescent="0.2">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row>
    <row r="935" spans="1:23" ht="16" x14ac:dyDescent="0.2">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row>
    <row r="936" spans="1:23" ht="16" x14ac:dyDescent="0.2">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row>
    <row r="937" spans="1:23" ht="16" x14ac:dyDescent="0.2">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row>
    <row r="938" spans="1:23" ht="16" x14ac:dyDescent="0.2">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row>
    <row r="939" spans="1:23" ht="16" x14ac:dyDescent="0.2">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row>
    <row r="940" spans="1:23" ht="16" x14ac:dyDescent="0.2">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row>
    <row r="941" spans="1:23" ht="16" x14ac:dyDescent="0.2">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row>
    <row r="942" spans="1:23" ht="16" x14ac:dyDescent="0.2">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row>
    <row r="943" spans="1:23" ht="16" x14ac:dyDescent="0.2">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row>
    <row r="944" spans="1:23" ht="16" x14ac:dyDescent="0.2">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row>
    <row r="945" spans="1:23" ht="16" x14ac:dyDescent="0.2">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row>
    <row r="946" spans="1:23" ht="16" x14ac:dyDescent="0.2">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row>
    <row r="947" spans="1:23" ht="16" x14ac:dyDescent="0.2">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row>
    <row r="948" spans="1:23" ht="16" x14ac:dyDescent="0.2">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row>
    <row r="949" spans="1:23" ht="16" x14ac:dyDescent="0.2">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row>
    <row r="950" spans="1:23" ht="16" x14ac:dyDescent="0.2">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row>
    <row r="951" spans="1:23" ht="16" x14ac:dyDescent="0.2">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row>
    <row r="952" spans="1:23" ht="16" x14ac:dyDescent="0.2">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row>
    <row r="953" spans="1:23" ht="16" x14ac:dyDescent="0.2">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row>
    <row r="954" spans="1:23" ht="16" x14ac:dyDescent="0.2">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row>
    <row r="955" spans="1:23" ht="16" x14ac:dyDescent="0.2">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row>
    <row r="956" spans="1:23" ht="16" x14ac:dyDescent="0.2">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row>
    <row r="957" spans="1:23" ht="16" x14ac:dyDescent="0.2">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row>
    <row r="958" spans="1:23" ht="16" x14ac:dyDescent="0.2">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row>
    <row r="959" spans="1:23" ht="16" x14ac:dyDescent="0.2">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row>
    <row r="960" spans="1:23" ht="16" x14ac:dyDescent="0.2">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row>
    <row r="961" spans="1:23" ht="16" x14ac:dyDescent="0.2">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row>
    <row r="962" spans="1:23" ht="16" x14ac:dyDescent="0.2">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row>
    <row r="963" spans="1:23" ht="16" x14ac:dyDescent="0.2">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row>
    <row r="964" spans="1:23" ht="16" x14ac:dyDescent="0.2">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row>
    <row r="965" spans="1:23" ht="16" x14ac:dyDescent="0.2">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row>
    <row r="966" spans="1:23" ht="16" x14ac:dyDescent="0.2">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row>
    <row r="967" spans="1:23" ht="16" x14ac:dyDescent="0.2">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row>
    <row r="968" spans="1:23" ht="16" x14ac:dyDescent="0.2">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row>
    <row r="969" spans="1:23" ht="16" x14ac:dyDescent="0.2">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row>
    <row r="970" spans="1:23" ht="16" x14ac:dyDescent="0.2">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row>
    <row r="971" spans="1:23" ht="16" x14ac:dyDescent="0.2">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row>
    <row r="972" spans="1:23" ht="16" x14ac:dyDescent="0.2">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row>
    <row r="973" spans="1:23" ht="16" x14ac:dyDescent="0.2">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row>
    <row r="974" spans="1:23" ht="16" x14ac:dyDescent="0.2">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row>
    <row r="975" spans="1:23" ht="16" x14ac:dyDescent="0.2">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row>
    <row r="976" spans="1:23" ht="16" x14ac:dyDescent="0.2">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row>
    <row r="977" spans="1:23" ht="16" x14ac:dyDescent="0.2">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row>
    <row r="978" spans="1:23" ht="16" x14ac:dyDescent="0.2">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row>
    <row r="979" spans="1:23" ht="16" x14ac:dyDescent="0.2">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row>
    <row r="980" spans="1:23" ht="16" x14ac:dyDescent="0.2">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row>
    <row r="981" spans="1:23" ht="16" x14ac:dyDescent="0.2">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row>
    <row r="982" spans="1:23" ht="16" x14ac:dyDescent="0.2">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row>
    <row r="983" spans="1:23" ht="16" x14ac:dyDescent="0.2">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row>
    <row r="984" spans="1:23" ht="16" x14ac:dyDescent="0.2">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row>
    <row r="985" spans="1:23" ht="16" x14ac:dyDescent="0.2">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row>
    <row r="986" spans="1:23" ht="16" x14ac:dyDescent="0.2">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row>
    <row r="987" spans="1:23" ht="16" x14ac:dyDescent="0.2">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row>
    <row r="988" spans="1:23" ht="16" x14ac:dyDescent="0.2">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row>
    <row r="989" spans="1:23" ht="16" x14ac:dyDescent="0.2">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row>
    <row r="990" spans="1:23" ht="16" x14ac:dyDescent="0.2">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row>
    <row r="991" spans="1:23" ht="16" x14ac:dyDescent="0.2">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row>
    <row r="992" spans="1:23" ht="16" x14ac:dyDescent="0.2">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row>
    <row r="993" spans="1:23" ht="16" x14ac:dyDescent="0.2">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row>
    <row r="994" spans="1:23" ht="16" x14ac:dyDescent="0.2">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row>
    <row r="995" spans="1:23" ht="16" x14ac:dyDescent="0.2">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row>
    <row r="996" spans="1:23" ht="16" x14ac:dyDescent="0.2">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row>
    <row r="997" spans="1:23" ht="16" x14ac:dyDescent="0.2">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row>
    <row r="998" spans="1:23" ht="16" x14ac:dyDescent="0.2">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row>
    <row r="999" spans="1:23" ht="16" x14ac:dyDescent="0.2">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row>
    <row r="1000" spans="1:23" ht="16" x14ac:dyDescent="0.2">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row>
    <row r="1001" spans="1:23" ht="16" x14ac:dyDescent="0.2">
      <c r="A1001" s="169"/>
      <c r="B1001" s="169"/>
      <c r="C1001" s="169"/>
      <c r="D1001" s="169"/>
      <c r="E1001" s="169"/>
      <c r="F1001" s="169"/>
      <c r="G1001" s="169"/>
      <c r="H1001" s="169"/>
      <c r="I1001" s="169"/>
      <c r="J1001" s="169"/>
      <c r="K1001" s="169"/>
      <c r="L1001" s="169"/>
      <c r="M1001" s="169"/>
      <c r="N1001" s="169"/>
      <c r="O1001" s="169"/>
      <c r="P1001" s="169"/>
      <c r="Q1001" s="169"/>
      <c r="R1001" s="169"/>
      <c r="S1001" s="169"/>
      <c r="T1001" s="169"/>
      <c r="U1001" s="169"/>
      <c r="V1001" s="169"/>
      <c r="W1001" s="169"/>
    </row>
    <row r="1002" spans="1:23" ht="16" x14ac:dyDescent="0.2">
      <c r="A1002" s="169"/>
      <c r="B1002" s="169"/>
      <c r="C1002" s="169"/>
      <c r="D1002" s="169"/>
      <c r="E1002" s="169"/>
      <c r="F1002" s="169"/>
      <c r="G1002" s="169"/>
      <c r="H1002" s="169"/>
      <c r="I1002" s="169"/>
      <c r="J1002" s="169"/>
      <c r="K1002" s="169"/>
      <c r="L1002" s="169"/>
      <c r="M1002" s="169"/>
      <c r="N1002" s="169"/>
      <c r="O1002" s="169"/>
      <c r="P1002" s="169"/>
      <c r="Q1002" s="169"/>
      <c r="R1002" s="169"/>
      <c r="S1002" s="169"/>
      <c r="T1002" s="169"/>
      <c r="U1002" s="169"/>
      <c r="V1002" s="169"/>
      <c r="W1002" s="169"/>
    </row>
    <row r="1003" spans="1:23" ht="16" x14ac:dyDescent="0.2">
      <c r="A1003" s="169"/>
      <c r="B1003" s="169"/>
      <c r="C1003" s="169"/>
      <c r="D1003" s="169"/>
      <c r="E1003" s="169"/>
      <c r="F1003" s="169"/>
      <c r="G1003" s="169"/>
      <c r="H1003" s="169"/>
      <c r="I1003" s="169"/>
      <c r="J1003" s="169"/>
      <c r="K1003" s="169"/>
      <c r="L1003" s="169"/>
      <c r="M1003" s="169"/>
      <c r="N1003" s="169"/>
      <c r="O1003" s="169"/>
      <c r="P1003" s="169"/>
      <c r="Q1003" s="169"/>
      <c r="R1003" s="169"/>
      <c r="S1003" s="169"/>
      <c r="T1003" s="169"/>
      <c r="U1003" s="169"/>
      <c r="V1003" s="169"/>
      <c r="W1003" s="169"/>
    </row>
    <row r="1004" spans="1:23" ht="16" x14ac:dyDescent="0.2">
      <c r="A1004" s="169"/>
      <c r="B1004" s="169"/>
      <c r="C1004" s="169"/>
      <c r="D1004" s="169"/>
      <c r="E1004" s="169"/>
      <c r="F1004" s="169"/>
      <c r="G1004" s="169"/>
      <c r="H1004" s="169"/>
      <c r="I1004" s="169"/>
      <c r="J1004" s="169"/>
      <c r="K1004" s="169"/>
      <c r="L1004" s="169"/>
      <c r="M1004" s="169"/>
      <c r="N1004" s="169"/>
      <c r="O1004" s="169"/>
      <c r="P1004" s="169"/>
      <c r="Q1004" s="169"/>
      <c r="R1004" s="169"/>
      <c r="S1004" s="169"/>
      <c r="T1004" s="169"/>
      <c r="U1004" s="169"/>
      <c r="V1004" s="169"/>
      <c r="W1004" s="169"/>
    </row>
    <row r="1005" spans="1:23" ht="16" x14ac:dyDescent="0.2">
      <c r="A1005" s="169"/>
      <c r="B1005" s="169"/>
      <c r="C1005" s="169"/>
      <c r="D1005" s="169"/>
      <c r="E1005" s="169"/>
      <c r="F1005" s="169"/>
      <c r="G1005" s="169"/>
      <c r="H1005" s="169"/>
      <c r="I1005" s="169"/>
      <c r="J1005" s="169"/>
      <c r="K1005" s="169"/>
      <c r="L1005" s="169"/>
      <c r="M1005" s="169"/>
      <c r="N1005" s="169"/>
      <c r="O1005" s="169"/>
      <c r="P1005" s="169"/>
      <c r="Q1005" s="169"/>
      <c r="R1005" s="169"/>
      <c r="S1005" s="169"/>
      <c r="T1005" s="169"/>
      <c r="U1005" s="169"/>
      <c r="V1005" s="169"/>
      <c r="W1005" s="169"/>
    </row>
    <row r="1006" spans="1:23" ht="16" x14ac:dyDescent="0.2">
      <c r="A1006" s="169"/>
      <c r="B1006" s="169"/>
      <c r="C1006" s="169"/>
      <c r="D1006" s="169"/>
      <c r="E1006" s="169"/>
      <c r="F1006" s="169"/>
      <c r="G1006" s="169"/>
      <c r="H1006" s="169"/>
      <c r="I1006" s="169"/>
      <c r="J1006" s="169"/>
      <c r="K1006" s="169"/>
      <c r="L1006" s="169"/>
      <c r="M1006" s="169"/>
      <c r="N1006" s="169"/>
      <c r="O1006" s="169"/>
      <c r="P1006" s="169"/>
      <c r="Q1006" s="169"/>
      <c r="R1006" s="169"/>
      <c r="S1006" s="169"/>
      <c r="T1006" s="169"/>
      <c r="U1006" s="169"/>
      <c r="V1006" s="169"/>
      <c r="W1006" s="169"/>
    </row>
    <row r="1007" spans="1:23" ht="16" x14ac:dyDescent="0.2">
      <c r="A1007" s="169"/>
      <c r="B1007" s="169"/>
      <c r="C1007" s="169"/>
      <c r="D1007" s="169"/>
      <c r="E1007" s="169"/>
      <c r="F1007" s="169"/>
      <c r="G1007" s="169"/>
      <c r="H1007" s="169"/>
      <c r="I1007" s="169"/>
      <c r="J1007" s="169"/>
      <c r="K1007" s="169"/>
      <c r="L1007" s="169"/>
      <c r="M1007" s="169"/>
      <c r="N1007" s="169"/>
      <c r="O1007" s="169"/>
      <c r="P1007" s="169"/>
      <c r="Q1007" s="169"/>
      <c r="R1007" s="169"/>
      <c r="S1007" s="169"/>
      <c r="T1007" s="169"/>
      <c r="U1007" s="169"/>
      <c r="V1007" s="169"/>
      <c r="W1007" s="169"/>
    </row>
    <row r="1008" spans="1:23" ht="16" x14ac:dyDescent="0.2">
      <c r="A1008" s="169"/>
      <c r="B1008" s="169"/>
      <c r="C1008" s="169"/>
      <c r="D1008" s="169"/>
      <c r="E1008" s="169"/>
      <c r="F1008" s="169"/>
      <c r="G1008" s="169"/>
      <c r="H1008" s="169"/>
      <c r="I1008" s="169"/>
      <c r="J1008" s="169"/>
      <c r="K1008" s="169"/>
      <c r="L1008" s="169"/>
      <c r="M1008" s="169"/>
      <c r="N1008" s="169"/>
      <c r="O1008" s="169"/>
      <c r="P1008" s="169"/>
      <c r="Q1008" s="169"/>
      <c r="R1008" s="169"/>
      <c r="S1008" s="169"/>
      <c r="T1008" s="169"/>
      <c r="U1008" s="169"/>
      <c r="V1008" s="169"/>
      <c r="W1008" s="169"/>
    </row>
    <row r="1009" spans="1:23" ht="16" x14ac:dyDescent="0.2">
      <c r="A1009" s="169"/>
      <c r="B1009" s="169"/>
      <c r="C1009" s="169"/>
      <c r="D1009" s="169"/>
      <c r="E1009" s="169"/>
      <c r="F1009" s="169"/>
      <c r="G1009" s="169"/>
      <c r="H1009" s="169"/>
      <c r="I1009" s="169"/>
      <c r="J1009" s="169"/>
      <c r="K1009" s="169"/>
      <c r="L1009" s="169"/>
      <c r="M1009" s="169"/>
      <c r="N1009" s="169"/>
      <c r="O1009" s="169"/>
      <c r="P1009" s="169"/>
      <c r="Q1009" s="169"/>
      <c r="R1009" s="169"/>
      <c r="S1009" s="169"/>
      <c r="T1009" s="169"/>
      <c r="U1009" s="169"/>
      <c r="V1009" s="169"/>
      <c r="W1009" s="169"/>
    </row>
    <row r="1010" spans="1:23" ht="16" x14ac:dyDescent="0.2">
      <c r="A1010" s="169"/>
      <c r="B1010" s="169"/>
      <c r="C1010" s="169"/>
      <c r="D1010" s="169"/>
      <c r="E1010" s="169"/>
      <c r="F1010" s="169"/>
      <c r="G1010" s="169"/>
      <c r="H1010" s="169"/>
      <c r="I1010" s="169"/>
      <c r="J1010" s="169"/>
      <c r="K1010" s="169"/>
      <c r="L1010" s="169"/>
      <c r="M1010" s="169"/>
      <c r="N1010" s="169"/>
      <c r="O1010" s="169"/>
      <c r="P1010" s="169"/>
      <c r="Q1010" s="169"/>
      <c r="R1010" s="169"/>
      <c r="S1010" s="169"/>
      <c r="T1010" s="169"/>
      <c r="U1010" s="169"/>
      <c r="V1010" s="169"/>
      <c r="W1010" s="169"/>
    </row>
    <row r="1011" spans="1:23" ht="16" x14ac:dyDescent="0.2">
      <c r="A1011" s="169"/>
      <c r="B1011" s="169"/>
      <c r="C1011" s="169"/>
      <c r="D1011" s="169"/>
      <c r="E1011" s="169"/>
      <c r="F1011" s="169"/>
      <c r="G1011" s="169"/>
      <c r="H1011" s="169"/>
      <c r="I1011" s="169"/>
      <c r="J1011" s="169"/>
      <c r="K1011" s="169"/>
      <c r="L1011" s="169"/>
      <c r="M1011" s="169"/>
      <c r="N1011" s="169"/>
      <c r="O1011" s="169"/>
      <c r="P1011" s="169"/>
      <c r="Q1011" s="169"/>
      <c r="R1011" s="169"/>
      <c r="S1011" s="169"/>
      <c r="T1011" s="169"/>
      <c r="U1011" s="169"/>
      <c r="V1011" s="169"/>
      <c r="W1011" s="169"/>
    </row>
    <row r="1012" spans="1:23" ht="16" x14ac:dyDescent="0.2">
      <c r="A1012" s="169"/>
      <c r="B1012" s="169"/>
      <c r="C1012" s="169"/>
      <c r="D1012" s="169"/>
      <c r="E1012" s="169"/>
      <c r="F1012" s="169"/>
      <c r="G1012" s="169"/>
      <c r="H1012" s="169"/>
      <c r="I1012" s="169"/>
      <c r="J1012" s="169"/>
      <c r="K1012" s="169"/>
      <c r="L1012" s="169"/>
      <c r="M1012" s="169"/>
      <c r="N1012" s="169"/>
      <c r="O1012" s="169"/>
      <c r="P1012" s="169"/>
      <c r="Q1012" s="169"/>
      <c r="R1012" s="169"/>
      <c r="S1012" s="169"/>
      <c r="T1012" s="169"/>
      <c r="U1012" s="169"/>
      <c r="V1012" s="169"/>
      <c r="W1012" s="169"/>
    </row>
    <row r="1013" spans="1:23" ht="16" x14ac:dyDescent="0.2">
      <c r="A1013" s="169"/>
      <c r="B1013" s="169"/>
      <c r="C1013" s="169"/>
      <c r="D1013" s="169"/>
      <c r="E1013" s="169"/>
      <c r="F1013" s="169"/>
      <c r="G1013" s="169"/>
      <c r="H1013" s="169"/>
      <c r="I1013" s="169"/>
      <c r="J1013" s="169"/>
      <c r="K1013" s="169"/>
      <c r="L1013" s="169"/>
      <c r="M1013" s="169"/>
      <c r="N1013" s="169"/>
      <c r="O1013" s="169"/>
      <c r="P1013" s="169"/>
      <c r="Q1013" s="169"/>
      <c r="R1013" s="169"/>
      <c r="S1013" s="169"/>
      <c r="T1013" s="169"/>
      <c r="U1013" s="169"/>
      <c r="V1013" s="169"/>
      <c r="W1013" s="169"/>
    </row>
    <row r="1014" spans="1:23" ht="16" x14ac:dyDescent="0.2">
      <c r="A1014" s="169"/>
      <c r="B1014" s="169"/>
      <c r="C1014" s="169"/>
      <c r="D1014" s="169"/>
      <c r="E1014" s="169"/>
      <c r="F1014" s="169"/>
      <c r="G1014" s="169"/>
      <c r="H1014" s="169"/>
      <c r="I1014" s="169"/>
      <c r="J1014" s="169"/>
      <c r="K1014" s="169"/>
      <c r="L1014" s="169"/>
      <c r="M1014" s="169"/>
      <c r="N1014" s="169"/>
      <c r="O1014" s="169"/>
      <c r="P1014" s="169"/>
      <c r="Q1014" s="169"/>
      <c r="R1014" s="169"/>
      <c r="S1014" s="169"/>
      <c r="T1014" s="169"/>
      <c r="U1014" s="169"/>
      <c r="V1014" s="169"/>
      <c r="W1014" s="169"/>
    </row>
    <row r="1015" spans="1:23" ht="16" x14ac:dyDescent="0.2">
      <c r="A1015" s="169"/>
      <c r="B1015" s="169"/>
      <c r="C1015" s="169"/>
      <c r="D1015" s="169"/>
      <c r="E1015" s="169"/>
      <c r="F1015" s="169"/>
      <c r="G1015" s="169"/>
      <c r="H1015" s="169"/>
      <c r="I1015" s="169"/>
      <c r="J1015" s="169"/>
      <c r="K1015" s="169"/>
      <c r="L1015" s="169"/>
      <c r="M1015" s="169"/>
      <c r="N1015" s="169"/>
      <c r="O1015" s="169"/>
      <c r="P1015" s="169"/>
      <c r="Q1015" s="169"/>
      <c r="R1015" s="169"/>
      <c r="S1015" s="169"/>
      <c r="T1015" s="169"/>
      <c r="U1015" s="169"/>
      <c r="V1015" s="169"/>
      <c r="W1015" s="169"/>
    </row>
    <row r="1016" spans="1:23" ht="16" x14ac:dyDescent="0.2">
      <c r="A1016" s="169"/>
      <c r="B1016" s="169"/>
      <c r="C1016" s="169"/>
      <c r="D1016" s="169"/>
      <c r="E1016" s="169"/>
      <c r="F1016" s="169"/>
      <c r="G1016" s="169"/>
      <c r="H1016" s="169"/>
      <c r="I1016" s="169"/>
      <c r="J1016" s="169"/>
      <c r="K1016" s="169"/>
      <c r="L1016" s="169"/>
      <c r="M1016" s="169"/>
      <c r="N1016" s="169"/>
      <c r="O1016" s="169"/>
      <c r="P1016" s="169"/>
      <c r="Q1016" s="169"/>
      <c r="R1016" s="169"/>
      <c r="S1016" s="169"/>
      <c r="T1016" s="169"/>
      <c r="U1016" s="169"/>
      <c r="V1016" s="169"/>
      <c r="W1016" s="169"/>
    </row>
    <row r="1017" spans="1:23" ht="16" x14ac:dyDescent="0.2">
      <c r="A1017" s="169"/>
      <c r="B1017" s="169"/>
      <c r="C1017" s="169"/>
      <c r="D1017" s="169"/>
      <c r="E1017" s="169"/>
      <c r="F1017" s="169"/>
      <c r="G1017" s="169"/>
      <c r="H1017" s="169"/>
      <c r="I1017" s="169"/>
      <c r="J1017" s="169"/>
      <c r="K1017" s="169"/>
      <c r="L1017" s="169"/>
      <c r="M1017" s="169"/>
      <c r="N1017" s="169"/>
      <c r="O1017" s="169"/>
      <c r="P1017" s="169"/>
      <c r="Q1017" s="169"/>
      <c r="R1017" s="169"/>
      <c r="S1017" s="169"/>
      <c r="T1017" s="169"/>
      <c r="U1017" s="169"/>
      <c r="V1017" s="169"/>
      <c r="W1017" s="169"/>
    </row>
    <row r="1018" spans="1:23" ht="16" x14ac:dyDescent="0.2">
      <c r="A1018" s="169"/>
      <c r="B1018" s="169"/>
      <c r="C1018" s="169"/>
      <c r="D1018" s="169"/>
      <c r="E1018" s="169"/>
      <c r="F1018" s="169"/>
      <c r="G1018" s="169"/>
      <c r="H1018" s="169"/>
      <c r="I1018" s="169"/>
      <c r="J1018" s="169"/>
      <c r="K1018" s="169"/>
      <c r="L1018" s="169"/>
      <c r="M1018" s="169"/>
      <c r="N1018" s="169"/>
      <c r="O1018" s="169"/>
      <c r="P1018" s="169"/>
      <c r="Q1018" s="169"/>
      <c r="R1018" s="169"/>
      <c r="S1018" s="169"/>
      <c r="T1018" s="169"/>
      <c r="U1018" s="169"/>
      <c r="V1018" s="169"/>
      <c r="W1018" s="169"/>
    </row>
    <row r="1019" spans="1:23" ht="16" x14ac:dyDescent="0.2">
      <c r="A1019" s="169"/>
      <c r="B1019" s="169"/>
      <c r="C1019" s="169"/>
      <c r="D1019" s="169"/>
      <c r="E1019" s="169"/>
      <c r="F1019" s="169"/>
      <c r="G1019" s="169"/>
      <c r="H1019" s="169"/>
      <c r="I1019" s="169"/>
      <c r="J1019" s="169"/>
      <c r="K1019" s="169"/>
      <c r="L1019" s="169"/>
      <c r="M1019" s="169"/>
      <c r="N1019" s="169"/>
      <c r="O1019" s="169"/>
      <c r="P1019" s="169"/>
      <c r="Q1019" s="169"/>
      <c r="R1019" s="169"/>
      <c r="S1019" s="169"/>
      <c r="T1019" s="169"/>
      <c r="U1019" s="169"/>
      <c r="V1019" s="169"/>
      <c r="W1019" s="169"/>
    </row>
    <row r="1020" spans="1:23" ht="16" x14ac:dyDescent="0.2">
      <c r="A1020" s="169"/>
      <c r="B1020" s="169"/>
      <c r="C1020" s="169"/>
      <c r="D1020" s="169"/>
      <c r="E1020" s="169"/>
      <c r="F1020" s="169"/>
      <c r="G1020" s="169"/>
      <c r="H1020" s="169"/>
      <c r="I1020" s="169"/>
      <c r="J1020" s="169"/>
      <c r="K1020" s="169"/>
      <c r="L1020" s="169"/>
      <c r="M1020" s="169"/>
      <c r="N1020" s="169"/>
      <c r="O1020" s="169"/>
      <c r="P1020" s="169"/>
      <c r="Q1020" s="169"/>
      <c r="R1020" s="169"/>
      <c r="S1020" s="169"/>
      <c r="T1020" s="169"/>
      <c r="U1020" s="169"/>
      <c r="V1020" s="169"/>
      <c r="W1020" s="169"/>
    </row>
    <row r="1021" spans="1:23" ht="16" x14ac:dyDescent="0.2">
      <c r="A1021" s="169"/>
      <c r="B1021" s="169"/>
      <c r="C1021" s="169"/>
      <c r="D1021" s="169"/>
      <c r="E1021" s="169"/>
      <c r="F1021" s="169"/>
      <c r="G1021" s="169"/>
      <c r="H1021" s="169"/>
      <c r="I1021" s="169"/>
      <c r="J1021" s="169"/>
      <c r="K1021" s="169"/>
      <c r="L1021" s="169"/>
      <c r="M1021" s="169"/>
      <c r="N1021" s="169"/>
      <c r="O1021" s="169"/>
      <c r="P1021" s="169"/>
      <c r="Q1021" s="169"/>
      <c r="R1021" s="169"/>
      <c r="S1021" s="169"/>
      <c r="T1021" s="169"/>
      <c r="U1021" s="169"/>
      <c r="V1021" s="169"/>
      <c r="W1021" s="169"/>
    </row>
    <row r="1022" spans="1:23" ht="16" x14ac:dyDescent="0.2">
      <c r="A1022" s="169"/>
      <c r="B1022" s="169"/>
      <c r="C1022" s="169"/>
      <c r="D1022" s="169"/>
      <c r="E1022" s="169"/>
      <c r="F1022" s="169"/>
      <c r="G1022" s="169"/>
      <c r="H1022" s="169"/>
      <c r="I1022" s="169"/>
      <c r="J1022" s="169"/>
      <c r="K1022" s="169"/>
      <c r="L1022" s="169"/>
      <c r="M1022" s="169"/>
      <c r="N1022" s="169"/>
      <c r="O1022" s="169"/>
      <c r="P1022" s="169"/>
      <c r="Q1022" s="169"/>
      <c r="R1022" s="169"/>
      <c r="S1022" s="169"/>
      <c r="T1022" s="169"/>
      <c r="U1022" s="169"/>
      <c r="V1022" s="169"/>
      <c r="W1022" s="169"/>
    </row>
    <row r="1023" spans="1:23" ht="16" x14ac:dyDescent="0.2">
      <c r="A1023" s="169"/>
      <c r="B1023" s="169"/>
      <c r="C1023" s="169"/>
      <c r="D1023" s="169"/>
      <c r="E1023" s="169"/>
      <c r="F1023" s="169"/>
      <c r="G1023" s="169"/>
      <c r="H1023" s="169"/>
      <c r="I1023" s="169"/>
      <c r="J1023" s="169"/>
      <c r="K1023" s="169"/>
      <c r="L1023" s="169"/>
      <c r="M1023" s="169"/>
      <c r="N1023" s="169"/>
      <c r="O1023" s="169"/>
      <c r="P1023" s="169"/>
      <c r="Q1023" s="169"/>
      <c r="R1023" s="169"/>
      <c r="S1023" s="169"/>
      <c r="T1023" s="169"/>
      <c r="U1023" s="169"/>
      <c r="V1023" s="169"/>
      <c r="W1023" s="169"/>
    </row>
    <row r="1024" spans="1:23" ht="16" x14ac:dyDescent="0.2">
      <c r="A1024" s="169"/>
      <c r="B1024" s="169"/>
      <c r="C1024" s="169"/>
      <c r="D1024" s="169"/>
      <c r="E1024" s="169"/>
      <c r="F1024" s="169"/>
      <c r="G1024" s="169"/>
      <c r="H1024" s="169"/>
      <c r="I1024" s="169"/>
      <c r="J1024" s="169"/>
      <c r="K1024" s="169"/>
      <c r="L1024" s="169"/>
      <c r="M1024" s="169"/>
      <c r="N1024" s="169"/>
      <c r="O1024" s="169"/>
      <c r="P1024" s="169"/>
      <c r="Q1024" s="169"/>
      <c r="R1024" s="169"/>
      <c r="S1024" s="169"/>
      <c r="T1024" s="169"/>
      <c r="U1024" s="169"/>
      <c r="V1024" s="169"/>
      <c r="W1024" s="169"/>
    </row>
    <row r="1025" spans="1:23" ht="16" x14ac:dyDescent="0.2">
      <c r="A1025" s="169"/>
      <c r="B1025" s="169"/>
      <c r="C1025" s="169"/>
      <c r="D1025" s="169"/>
      <c r="E1025" s="169"/>
      <c r="F1025" s="169"/>
      <c r="G1025" s="169"/>
      <c r="H1025" s="169"/>
      <c r="I1025" s="169"/>
      <c r="J1025" s="169"/>
      <c r="K1025" s="169"/>
      <c r="L1025" s="169"/>
      <c r="M1025" s="169"/>
      <c r="N1025" s="169"/>
      <c r="O1025" s="169"/>
      <c r="P1025" s="169"/>
      <c r="Q1025" s="169"/>
      <c r="R1025" s="169"/>
      <c r="S1025" s="169"/>
      <c r="T1025" s="169"/>
      <c r="U1025" s="169"/>
      <c r="V1025" s="169"/>
      <c r="W1025" s="169"/>
    </row>
    <row r="1026" spans="1:23" ht="16" x14ac:dyDescent="0.2">
      <c r="A1026" s="169"/>
      <c r="B1026" s="169"/>
      <c r="C1026" s="169"/>
      <c r="D1026" s="169"/>
      <c r="E1026" s="169"/>
      <c r="F1026" s="169"/>
      <c r="G1026" s="169"/>
      <c r="H1026" s="169"/>
      <c r="I1026" s="169"/>
      <c r="J1026" s="169"/>
      <c r="K1026" s="169"/>
      <c r="L1026" s="169"/>
      <c r="M1026" s="169"/>
      <c r="N1026" s="169"/>
      <c r="O1026" s="169"/>
      <c r="P1026" s="169"/>
      <c r="Q1026" s="169"/>
      <c r="R1026" s="169"/>
      <c r="S1026" s="169"/>
      <c r="T1026" s="169"/>
      <c r="U1026" s="169"/>
      <c r="V1026" s="169"/>
      <c r="W1026" s="169"/>
    </row>
    <row r="1027" spans="1:23" ht="16" x14ac:dyDescent="0.2">
      <c r="A1027" s="169"/>
      <c r="B1027" s="169"/>
      <c r="C1027" s="169"/>
      <c r="D1027" s="169"/>
      <c r="E1027" s="169"/>
      <c r="F1027" s="169"/>
      <c r="G1027" s="169"/>
      <c r="H1027" s="169"/>
      <c r="I1027" s="169"/>
      <c r="J1027" s="169"/>
      <c r="K1027" s="169"/>
      <c r="L1027" s="169"/>
      <c r="M1027" s="169"/>
      <c r="N1027" s="169"/>
      <c r="O1027" s="169"/>
      <c r="P1027" s="169"/>
      <c r="Q1027" s="169"/>
      <c r="R1027" s="169"/>
      <c r="S1027" s="169"/>
      <c r="T1027" s="169"/>
      <c r="U1027" s="169"/>
      <c r="V1027" s="169"/>
      <c r="W1027" s="169"/>
    </row>
  </sheetData>
  <phoneticPr fontId="59" type="noConversion"/>
  <conditionalFormatting sqref="K41 C41:G41 N41 I41">
    <cfRule type="notContainsBlanks" dxfId="0" priority="2">
      <formula>LEN(TRIM(C41))&gt;0</formula>
    </cfRule>
  </conditionalFormatting>
  <hyperlinks>
    <hyperlink ref="A1"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J43"/>
  <sheetViews>
    <sheetView showGridLines="0" zoomScale="115" workbookViewId="0">
      <pane ySplit="4" topLeftCell="A26" activePane="bottomLeft" state="frozen"/>
      <selection pane="bottomLeft" activeCell="H34" sqref="H34"/>
    </sheetView>
  </sheetViews>
  <sheetFormatPr baseColWidth="10" defaultColWidth="8.83203125" defaultRowHeight="16" x14ac:dyDescent="0.2"/>
  <cols>
    <col min="1" max="1" width="8.83203125" style="2"/>
    <col min="2" max="2" width="36.6640625" style="2" bestFit="1" customWidth="1"/>
    <col min="3" max="3" width="12" style="2" bestFit="1" customWidth="1"/>
    <col min="4" max="4" width="14.33203125" style="2" bestFit="1" customWidth="1"/>
    <col min="5" max="8" width="14.6640625" style="2" bestFit="1" customWidth="1"/>
    <col min="9" max="9" width="10.1640625" style="2" bestFit="1" customWidth="1"/>
    <col min="10" max="10" width="15.1640625" style="2" bestFit="1" customWidth="1"/>
    <col min="11" max="12" width="11.5" style="2" bestFit="1" customWidth="1"/>
    <col min="13" max="13" width="14.6640625" style="2" customWidth="1"/>
    <col min="14" max="15" width="9" style="2" bestFit="1" customWidth="1"/>
    <col min="16" max="16384" width="8.83203125" style="2"/>
  </cols>
  <sheetData>
    <row r="1" spans="1:8" x14ac:dyDescent="0.2">
      <c r="A1" s="1771" t="s">
        <v>38</v>
      </c>
    </row>
    <row r="2" spans="1:8" x14ac:dyDescent="0.2">
      <c r="B2" s="3" t="s">
        <v>1134</v>
      </c>
    </row>
    <row r="3" spans="1:8" x14ac:dyDescent="0.2">
      <c r="B3" s="3" t="s">
        <v>30</v>
      </c>
    </row>
    <row r="4" spans="1:8" x14ac:dyDescent="0.2">
      <c r="B4" s="2" t="s">
        <v>1137</v>
      </c>
      <c r="C4" s="696" t="s">
        <v>1246</v>
      </c>
      <c r="D4" s="696" t="s">
        <v>71</v>
      </c>
      <c r="E4" s="696" t="s">
        <v>72</v>
      </c>
      <c r="F4" s="696" t="s">
        <v>73</v>
      </c>
      <c r="G4" s="696" t="s">
        <v>74</v>
      </c>
      <c r="H4" s="696" t="s">
        <v>75</v>
      </c>
    </row>
    <row r="5" spans="1:8" x14ac:dyDescent="0.2">
      <c r="B5" s="1396" t="s">
        <v>1247</v>
      </c>
      <c r="C5" s="1397"/>
      <c r="D5" s="1397"/>
      <c r="E5" s="1397"/>
      <c r="F5" s="1397"/>
      <c r="G5" s="1397"/>
      <c r="H5" s="1398"/>
    </row>
    <row r="6" spans="1:8" x14ac:dyDescent="0.2">
      <c r="B6" s="4" t="s">
        <v>1248</v>
      </c>
      <c r="C6" s="5"/>
      <c r="D6" s="5"/>
      <c r="E6" s="5"/>
      <c r="F6" s="5"/>
      <c r="G6" s="5"/>
      <c r="H6" s="6"/>
    </row>
    <row r="7" spans="1:8" x14ac:dyDescent="0.2">
      <c r="B7" s="821" t="s">
        <v>1249</v>
      </c>
      <c r="C7" s="2489">
        <f>'FE Assumptions'!C15</f>
        <v>213283</v>
      </c>
      <c r="D7" s="2489" t="e">
        <f ca="1">CompCo!$R$8*'Income Statement'!D11</f>
        <v>#NAME?</v>
      </c>
      <c r="E7" s="2489" t="e">
        <f ca="1">CompCo!$R$8*'Income Statement'!E11</f>
        <v>#NAME?</v>
      </c>
      <c r="F7" s="2489" t="e">
        <f ca="1">CompCo!$R$8*'Income Statement'!F11</f>
        <v>#NAME?</v>
      </c>
      <c r="G7" s="2489" t="e">
        <f ca="1">CompCo!$R$8*'Income Statement'!G11</f>
        <v>#NAME?</v>
      </c>
      <c r="H7" s="685" t="e">
        <f ca="1">CompCo!$R$8*'Income Statement'!H11</f>
        <v>#NAME?</v>
      </c>
    </row>
    <row r="8" spans="1:8" x14ac:dyDescent="0.2">
      <c r="B8" s="821" t="s">
        <v>1250</v>
      </c>
      <c r="C8" s="2475">
        <f>CompCo!$N$9*'Income Statement'!C11</f>
        <v>0</v>
      </c>
      <c r="D8" s="2475" t="e">
        <f ca="1">CompCo!$N$9*'Income Statement'!D11</f>
        <v>#NAME?</v>
      </c>
      <c r="E8" s="2475" t="e">
        <f ca="1">CompCo!$N$9*'Income Statement'!E11</f>
        <v>#NAME?</v>
      </c>
      <c r="F8" s="2475" t="e">
        <f ca="1">CompCo!$N$9*'Income Statement'!F11</f>
        <v>#NAME?</v>
      </c>
      <c r="G8" s="2475" t="e">
        <f ca="1">CompCo!$N$9*'Income Statement'!G11</f>
        <v>#NAME?</v>
      </c>
      <c r="H8" s="524" t="e">
        <f ca="1">CompCo!$N$9*'Income Statement'!H11</f>
        <v>#NAME?</v>
      </c>
    </row>
    <row r="9" spans="1:8" x14ac:dyDescent="0.2">
      <c r="B9" s="821" t="s">
        <v>1251</v>
      </c>
      <c r="C9" s="2475" t="e">
        <f ca="1">'FE Assumptions'!$C$64</f>
        <v>#NAME?</v>
      </c>
      <c r="D9" s="2475" t="e">
        <f ca="1">'FE Assumptions'!$D$64</f>
        <v>#NAME?</v>
      </c>
      <c r="E9" s="2475" t="e">
        <f ca="1">'FE Assumptions'!$E$64</f>
        <v>#NAME?</v>
      </c>
      <c r="F9" s="2475" t="e">
        <f ca="1">'FE Assumptions'!$F$64</f>
        <v>#NAME?</v>
      </c>
      <c r="G9" s="2475" t="e">
        <f ca="1">'FE Assumptions'!$G$64</f>
        <v>#NAME?</v>
      </c>
      <c r="H9" s="524" t="e">
        <f ca="1">'FE Assumptions'!$H$64</f>
        <v>#NAME?</v>
      </c>
    </row>
    <row r="10" spans="1:8" x14ac:dyDescent="0.2">
      <c r="B10" s="821" t="s">
        <v>1252</v>
      </c>
      <c r="C10" s="2453" t="e">
        <f ca="1">'FE Assumptions'!$C$65</f>
        <v>#NAME?</v>
      </c>
      <c r="D10" s="2453" t="e">
        <f ca="1">'FE Assumptions'!$D$65</f>
        <v>#NAME?</v>
      </c>
      <c r="E10" s="2453" t="e">
        <f ca="1">'FE Assumptions'!$E$65</f>
        <v>#NAME?</v>
      </c>
      <c r="F10" s="2453" t="e">
        <f ca="1">'FE Assumptions'!$F$65</f>
        <v>#NAME?</v>
      </c>
      <c r="G10" s="2453" t="e">
        <f ca="1">'FE Assumptions'!$G$65</f>
        <v>#NAME?</v>
      </c>
      <c r="H10" s="688" t="e">
        <f ca="1">'FE Assumptions'!$H$65</f>
        <v>#NAME?</v>
      </c>
    </row>
    <row r="11" spans="1:8" x14ac:dyDescent="0.2">
      <c r="B11" s="7" t="s">
        <v>1253</v>
      </c>
      <c r="C11" s="667" t="e">
        <f t="shared" ref="C11:H11" ca="1" si="0">SUM(C7:C10)</f>
        <v>#NAME?</v>
      </c>
      <c r="D11" s="667" t="e">
        <f t="shared" ca="1" si="0"/>
        <v>#NAME?</v>
      </c>
      <c r="E11" s="667" t="e">
        <f t="shared" ca="1" si="0"/>
        <v>#NAME?</v>
      </c>
      <c r="F11" s="667" t="e">
        <f t="shared" ca="1" si="0"/>
        <v>#NAME?</v>
      </c>
      <c r="G11" s="667" t="e">
        <f t="shared" ca="1" si="0"/>
        <v>#NAME?</v>
      </c>
      <c r="H11" s="685" t="e">
        <f t="shared" ca="1" si="0"/>
        <v>#NAME?</v>
      </c>
    </row>
    <row r="12" spans="1:8" ht="8.25" customHeight="1" x14ac:dyDescent="0.2">
      <c r="B12" s="8"/>
      <c r="C12" s="9"/>
      <c r="D12" s="9"/>
      <c r="E12" s="9"/>
      <c r="F12" s="9"/>
      <c r="G12" s="9"/>
      <c r="H12" s="10"/>
    </row>
    <row r="13" spans="1:8" x14ac:dyDescent="0.2">
      <c r="B13" s="11" t="s">
        <v>1254</v>
      </c>
      <c r="C13" s="12"/>
      <c r="D13" s="12"/>
      <c r="E13" s="12"/>
      <c r="F13" s="12"/>
      <c r="G13" s="12"/>
      <c r="H13" s="13"/>
    </row>
    <row r="14" spans="1:8" x14ac:dyDescent="0.2">
      <c r="B14" s="821" t="s">
        <v>1206</v>
      </c>
      <c r="C14" s="2490" t="e">
        <f ca="1">'FE Assumptions'!C70</f>
        <v>#NAME?</v>
      </c>
      <c r="D14" s="2490" t="e">
        <f ca="1">'FE Assumptions'!D70</f>
        <v>#NAME?</v>
      </c>
      <c r="E14" s="2490" t="e">
        <f ca="1">'FE Assumptions'!E70</f>
        <v>#NAME?</v>
      </c>
      <c r="F14" s="2490" t="e">
        <f ca="1">'FE Assumptions'!F70</f>
        <v>#NAME?</v>
      </c>
      <c r="G14" s="2490" t="e">
        <f ca="1">'FE Assumptions'!G70</f>
        <v>#NAME?</v>
      </c>
      <c r="H14" s="524" t="e">
        <f ca="1">'FE Assumptions'!H70</f>
        <v>#NAME?</v>
      </c>
    </row>
    <row r="15" spans="1:8" x14ac:dyDescent="0.2">
      <c r="B15" s="821" t="s">
        <v>1255</v>
      </c>
      <c r="C15" s="2453" t="e">
        <f ca="1">'Income Statement'!C28</f>
        <v>#NAME?</v>
      </c>
      <c r="D15" s="2453" t="e">
        <f ca="1">C15+'Income Statement'!D28</f>
        <v>#NAME?</v>
      </c>
      <c r="E15" s="2453" t="e">
        <f ca="1">D15+'Income Statement'!E28</f>
        <v>#NAME?</v>
      </c>
      <c r="F15" s="2453" t="e">
        <f ca="1">E15+'Income Statement'!F28</f>
        <v>#NAME?</v>
      </c>
      <c r="G15" s="2453" t="e">
        <f ca="1">F15+'Income Statement'!G28</f>
        <v>#NAME?</v>
      </c>
      <c r="H15" s="524" t="e">
        <f ca="1">G15+'Income Statement'!H28</f>
        <v>#NAME?</v>
      </c>
    </row>
    <row r="16" spans="1:8" x14ac:dyDescent="0.2">
      <c r="B16" s="14" t="s">
        <v>1256</v>
      </c>
      <c r="C16" s="680" t="e">
        <f t="shared" ref="C16:H16" ca="1" si="1">SUM(C14:C15)</f>
        <v>#NAME?</v>
      </c>
      <c r="D16" s="680" t="e">
        <f t="shared" ca="1" si="1"/>
        <v>#NAME?</v>
      </c>
      <c r="E16" s="680" t="e">
        <f t="shared" ca="1" si="1"/>
        <v>#NAME?</v>
      </c>
      <c r="F16" s="680" t="e">
        <f t="shared" ca="1" si="1"/>
        <v>#NAME?</v>
      </c>
      <c r="G16" s="680" t="e">
        <f t="shared" ca="1" si="1"/>
        <v>#NAME?</v>
      </c>
      <c r="H16" s="681" t="e">
        <f t="shared" ca="1" si="1"/>
        <v>#NAME?</v>
      </c>
    </row>
    <row r="17" spans="2:10" x14ac:dyDescent="0.2">
      <c r="B17" s="686" t="s">
        <v>1257</v>
      </c>
      <c r="C17" s="527" t="e">
        <f t="shared" ref="C17:H17" ca="1" si="2">C11+C16</f>
        <v>#NAME?</v>
      </c>
      <c r="D17" s="527" t="e">
        <f t="shared" ca="1" si="2"/>
        <v>#NAME?</v>
      </c>
      <c r="E17" s="527" t="e">
        <f t="shared" ca="1" si="2"/>
        <v>#NAME?</v>
      </c>
      <c r="F17" s="527" t="e">
        <f t="shared" ca="1" si="2"/>
        <v>#NAME?</v>
      </c>
      <c r="G17" s="527" t="e">
        <f t="shared" ca="1" si="2"/>
        <v>#NAME?</v>
      </c>
      <c r="H17" s="528" t="e">
        <f t="shared" ca="1" si="2"/>
        <v>#NAME?</v>
      </c>
    </row>
    <row r="18" spans="2:10" x14ac:dyDescent="0.2">
      <c r="B18" s="1490" t="s">
        <v>1258</v>
      </c>
      <c r="C18" s="682"/>
      <c r="D18" s="682"/>
      <c r="E18" s="682"/>
      <c r="F18" s="682"/>
      <c r="G18" s="682"/>
      <c r="H18" s="1491"/>
    </row>
    <row r="19" spans="2:10" x14ac:dyDescent="0.2">
      <c r="B19" s="4" t="s">
        <v>1259</v>
      </c>
      <c r="C19" s="5"/>
      <c r="D19" s="5"/>
      <c r="E19" s="5"/>
      <c r="F19" s="5"/>
      <c r="G19" s="5"/>
      <c r="H19" s="6"/>
    </row>
    <row r="20" spans="2:10" x14ac:dyDescent="0.2">
      <c r="B20" s="821" t="s">
        <v>1260</v>
      </c>
      <c r="C20" s="2475">
        <f>CompCo!$P$9 * 'Income Statement'!C11</f>
        <v>0</v>
      </c>
      <c r="D20" s="2475" t="e">
        <f ca="1">CompCo!$P$9 * 'Income Statement'!D11</f>
        <v>#NAME?</v>
      </c>
      <c r="E20" s="2475" t="e">
        <f ca="1">CompCo!$P$9 * 'Income Statement'!E11</f>
        <v>#NAME?</v>
      </c>
      <c r="F20" s="2475" t="e">
        <f ca="1">CompCo!$P$9 * 'Income Statement'!F11</f>
        <v>#NAME?</v>
      </c>
      <c r="G20" s="2475" t="e">
        <f ca="1">CompCo!$P$9 * 'Income Statement'!G11</f>
        <v>#NAME?</v>
      </c>
      <c r="H20" s="526" t="e">
        <f ca="1">CompCo!$P$9 * 'Income Statement'!H11</f>
        <v>#NAME?</v>
      </c>
    </row>
    <row r="21" spans="2:10" x14ac:dyDescent="0.2">
      <c r="B21" s="7" t="s">
        <v>1261</v>
      </c>
      <c r="C21" s="525">
        <f t="shared" ref="C21:H21" si="3">SUM(C20)</f>
        <v>0</v>
      </c>
      <c r="D21" s="525" t="e">
        <f t="shared" ca="1" si="3"/>
        <v>#NAME?</v>
      </c>
      <c r="E21" s="525" t="e">
        <f t="shared" ca="1" si="3"/>
        <v>#NAME?</v>
      </c>
      <c r="F21" s="525" t="e">
        <f t="shared" ca="1" si="3"/>
        <v>#NAME?</v>
      </c>
      <c r="G21" s="525" t="e">
        <f t="shared" ca="1" si="3"/>
        <v>#NAME?</v>
      </c>
      <c r="H21" s="526" t="e">
        <f t="shared" ca="1" si="3"/>
        <v>#NAME?</v>
      </c>
    </row>
    <row r="22" spans="2:10" ht="7.5" customHeight="1" x14ac:dyDescent="0.2">
      <c r="B22" s="8"/>
      <c r="C22" s="9"/>
      <c r="D22" s="9"/>
      <c r="E22" s="9"/>
      <c r="F22" s="9"/>
      <c r="G22" s="9"/>
      <c r="H22" s="10"/>
    </row>
    <row r="23" spans="2:10" x14ac:dyDescent="0.2">
      <c r="B23" s="11" t="s">
        <v>1262</v>
      </c>
      <c r="C23" s="12"/>
      <c r="D23" s="12"/>
      <c r="E23" s="12"/>
      <c r="F23" s="12"/>
      <c r="G23" s="12"/>
      <c r="H23" s="13"/>
    </row>
    <row r="24" spans="2:10" x14ac:dyDescent="0.2">
      <c r="B24" s="821" t="s">
        <v>1263</v>
      </c>
      <c r="C24" s="2475" t="e">
        <f ca="1">IF(Valuation!C11&lt;0,-Valuation!C11,0)</f>
        <v>#NAME?</v>
      </c>
      <c r="D24" s="2475" t="e">
        <f ca="1">IF(Valuation!D11&lt;0,-Valuation!D11,0)+C24</f>
        <v>#NAME?</v>
      </c>
      <c r="E24" s="2475" t="e">
        <f ca="1">IF(Valuation!E11&lt;0,-Valuation!E11,0)+D24</f>
        <v>#NAME?</v>
      </c>
      <c r="F24" s="2475" t="e">
        <f ca="1">IF(Valuation!F11&lt;0,-Valuation!F11,0)+E24</f>
        <v>#NAME?</v>
      </c>
      <c r="G24" s="2475" t="e">
        <f ca="1">IF(Valuation!G11&lt;0,-Valuation!G11,0)+F24</f>
        <v>#NAME?</v>
      </c>
      <c r="H24" s="526" t="e">
        <f ca="1">IF(Valuation!H11&lt;0,-Valuation!H11,0)+G24</f>
        <v>#NAME?</v>
      </c>
      <c r="J24" s="523"/>
    </row>
    <row r="25" spans="2:10" x14ac:dyDescent="0.2">
      <c r="B25" s="821" t="s">
        <v>1264</v>
      </c>
      <c r="C25" s="2475" t="e">
        <f ca="1">'Income Statement'!C41</f>
        <v>#NAME?</v>
      </c>
      <c r="D25" s="2475" t="e">
        <f ca="1">'Income Statement'!D41+C25</f>
        <v>#NAME?</v>
      </c>
      <c r="E25" s="2475" t="e">
        <f ca="1">'Income Statement'!E41+D25</f>
        <v>#NAME?</v>
      </c>
      <c r="F25" s="2475" t="e">
        <f ca="1">'Income Statement'!F41+E25</f>
        <v>#NAME?</v>
      </c>
      <c r="G25" s="2475" t="e">
        <f ca="1">'Income Statement'!G41+F25</f>
        <v>#NAME?</v>
      </c>
      <c r="H25" s="526" t="e">
        <f ca="1">'Income Statement'!H41+G25</f>
        <v>#NAME?</v>
      </c>
      <c r="I25" s="523"/>
    </row>
    <row r="26" spans="2:10" x14ac:dyDescent="0.2">
      <c r="B26" s="14" t="s">
        <v>1265</v>
      </c>
      <c r="C26" s="680" t="e">
        <f t="shared" ref="C26:H26" ca="1" si="4">SUM(C24:C25)</f>
        <v>#NAME?</v>
      </c>
      <c r="D26" s="680" t="e">
        <f t="shared" ca="1" si="4"/>
        <v>#NAME?</v>
      </c>
      <c r="E26" s="680" t="e">
        <f t="shared" ca="1" si="4"/>
        <v>#NAME?</v>
      </c>
      <c r="F26" s="680" t="e">
        <f t="shared" ca="1" si="4"/>
        <v>#NAME?</v>
      </c>
      <c r="G26" s="680" t="e">
        <f t="shared" ca="1" si="4"/>
        <v>#NAME?</v>
      </c>
      <c r="H26" s="681" t="e">
        <f t="shared" ca="1" si="4"/>
        <v>#NAME?</v>
      </c>
    </row>
    <row r="27" spans="2:10" x14ac:dyDescent="0.2">
      <c r="B27" s="1245" t="s">
        <v>1266</v>
      </c>
      <c r="C27" s="689" t="e">
        <f t="shared" ref="C27:H27" ca="1" si="5">C21+C26</f>
        <v>#NAME?</v>
      </c>
      <c r="D27" s="689" t="e">
        <f t="shared" ca="1" si="5"/>
        <v>#NAME?</v>
      </c>
      <c r="E27" s="689" t="e">
        <f t="shared" ca="1" si="5"/>
        <v>#NAME?</v>
      </c>
      <c r="F27" s="689" t="e">
        <f t="shared" ca="1" si="5"/>
        <v>#NAME?</v>
      </c>
      <c r="G27" s="689" t="e">
        <f t="shared" ca="1" si="5"/>
        <v>#NAME?</v>
      </c>
      <c r="H27" s="690" t="e">
        <f t="shared" ca="1" si="5"/>
        <v>#NAME?</v>
      </c>
    </row>
    <row r="28" spans="2:10" x14ac:dyDescent="0.2">
      <c r="B28" s="15" t="s">
        <v>1267</v>
      </c>
      <c r="C28" s="676" t="e">
        <f t="shared" ref="C28:H28" ca="1" si="6">C17-C27</f>
        <v>#NAME?</v>
      </c>
      <c r="D28" s="676" t="e">
        <f t="shared" ca="1" si="6"/>
        <v>#NAME?</v>
      </c>
      <c r="E28" s="676" t="e">
        <f t="shared" ca="1" si="6"/>
        <v>#NAME?</v>
      </c>
      <c r="F28" s="676" t="e">
        <f t="shared" ca="1" si="6"/>
        <v>#NAME?</v>
      </c>
      <c r="G28" s="676" t="e">
        <f t="shared" ca="1" si="6"/>
        <v>#NAME?</v>
      </c>
      <c r="H28" s="677" t="e">
        <f t="shared" ca="1" si="6"/>
        <v>#NAME?</v>
      </c>
    </row>
    <row r="29" spans="2:10" ht="8.25" customHeight="1" thickTop="1" thickBot="1" x14ac:dyDescent="0.25"/>
    <row r="30" spans="2:10" ht="33" thickBot="1" x14ac:dyDescent="0.25">
      <c r="B30" s="2500" t="s">
        <v>1268</v>
      </c>
      <c r="C30" s="2501" t="e">
        <f t="shared" ref="C30:H30" ca="1" si="7">(C11)-C21</f>
        <v>#NAME?</v>
      </c>
      <c r="D30" s="2501" t="e">
        <f t="shared" ca="1" si="7"/>
        <v>#NAME?</v>
      </c>
      <c r="E30" s="2501" t="e">
        <f t="shared" ca="1" si="7"/>
        <v>#NAME?</v>
      </c>
      <c r="F30" s="2501" t="e">
        <f t="shared" ca="1" si="7"/>
        <v>#NAME?</v>
      </c>
      <c r="G30" s="2501" t="e">
        <f t="shared" ca="1" si="7"/>
        <v>#NAME?</v>
      </c>
      <c r="H30" s="2502" t="e">
        <f t="shared" ca="1" si="7"/>
        <v>#NAME?</v>
      </c>
    </row>
    <row r="31" spans="2:10" ht="17" thickBot="1" x14ac:dyDescent="0.25">
      <c r="B31" s="816"/>
      <c r="C31" s="816"/>
      <c r="D31" s="816"/>
      <c r="E31" s="816"/>
      <c r="F31" s="816"/>
      <c r="G31" s="816"/>
      <c r="H31" s="816"/>
    </row>
    <row r="32" spans="2:10" x14ac:dyDescent="0.2">
      <c r="B32" s="1391" t="s">
        <v>1269</v>
      </c>
      <c r="C32" s="1511"/>
      <c r="D32" s="1511"/>
      <c r="E32" s="1511"/>
      <c r="F32" s="1511"/>
      <c r="G32" s="1511"/>
      <c r="H32" s="1512"/>
    </row>
    <row r="33" spans="2:10" x14ac:dyDescent="0.2">
      <c r="B33" s="740" t="s">
        <v>1270</v>
      </c>
      <c r="C33" s="2491" t="s">
        <v>1167</v>
      </c>
      <c r="D33" s="2493" t="e">
        <f ca="1">('Balance Sheet'!D8/'Income Statement'!D11)*365</f>
        <v>#NAME?</v>
      </c>
      <c r="E33" s="2493" t="e">
        <f ca="1">('Balance Sheet'!E8/'Income Statement'!E11)*365</f>
        <v>#NAME?</v>
      </c>
      <c r="F33" s="2493" t="e">
        <f ca="1">('Balance Sheet'!F8/'Income Statement'!F11)*365</f>
        <v>#NAME?</v>
      </c>
      <c r="G33" s="2493" t="e">
        <f ca="1">('Balance Sheet'!G8/'Income Statement'!G11)*365</f>
        <v>#NAME?</v>
      </c>
      <c r="H33" s="683" t="e">
        <f ca="1">('Balance Sheet'!H8/'Income Statement'!H11)*365</f>
        <v>#NAME?</v>
      </c>
    </row>
    <row r="34" spans="2:10" x14ac:dyDescent="0.2">
      <c r="B34" s="741" t="s">
        <v>1271</v>
      </c>
      <c r="C34" s="2442" t="s">
        <v>1167</v>
      </c>
      <c r="D34" s="2494" t="e">
        <f ca="1">-('Balance Sheet'!D20/'Income Statement'!D14)*365</f>
        <v>#NAME?</v>
      </c>
      <c r="E34" s="2494" t="e">
        <f ca="1">-('Balance Sheet'!E20/'Income Statement'!E14)*365</f>
        <v>#NAME?</v>
      </c>
      <c r="F34" s="2494" t="e">
        <f ca="1">-('Balance Sheet'!F20/'Income Statement'!F14)*365</f>
        <v>#NAME?</v>
      </c>
      <c r="G34" s="2494" t="e">
        <f ca="1">-('Balance Sheet'!G20/'Income Statement'!G14)*365</f>
        <v>#NAME?</v>
      </c>
      <c r="H34" s="684" t="e">
        <f ca="1">-('Balance Sheet'!H20/'Income Statement'!H14)*365</f>
        <v>#NAME?</v>
      </c>
    </row>
    <row r="35" spans="2:10" x14ac:dyDescent="0.2">
      <c r="B35" s="741" t="s">
        <v>1272</v>
      </c>
      <c r="C35" s="2442" t="s">
        <v>1167</v>
      </c>
      <c r="D35" s="2494" t="e">
        <f ca="1">-('Balance Sheet'!D10/'Income Statement'!D14)*365</f>
        <v>#NAME?</v>
      </c>
      <c r="E35" s="2494" t="e">
        <f ca="1">-('Balance Sheet'!E10/'Income Statement'!E14)*365</f>
        <v>#NAME?</v>
      </c>
      <c r="F35" s="2494" t="e">
        <f ca="1">-('Balance Sheet'!F10/'Income Statement'!F14)*365</f>
        <v>#NAME?</v>
      </c>
      <c r="G35" s="2494" t="e">
        <f ca="1">-('Balance Sheet'!G10/'Income Statement'!G14)*365</f>
        <v>#NAME?</v>
      </c>
      <c r="H35" s="684" t="e">
        <f ca="1">-('Balance Sheet'!H10/'Income Statement'!H14)*365</f>
        <v>#NAME?</v>
      </c>
    </row>
    <row r="36" spans="2:10" x14ac:dyDescent="0.2">
      <c r="B36" s="741" t="s">
        <v>1211</v>
      </c>
      <c r="C36" s="2442" t="s">
        <v>1167</v>
      </c>
      <c r="D36" s="2485" t="e">
        <f ca="1">'Balance Sheet'!D7/'Income Statement'!D11</f>
        <v>#NAME?</v>
      </c>
      <c r="E36" s="2485" t="e">
        <f ca="1">'Balance Sheet'!E7/'Income Statement'!E11</f>
        <v>#NAME?</v>
      </c>
      <c r="F36" s="2485" t="e">
        <f ca="1">'Balance Sheet'!F7/'Income Statement'!F11</f>
        <v>#NAME?</v>
      </c>
      <c r="G36" s="2485" t="e">
        <f ca="1">'Balance Sheet'!G7/'Income Statement'!G11</f>
        <v>#NAME?</v>
      </c>
      <c r="H36" s="1384" t="e">
        <f ca="1">'Balance Sheet'!H7/'Income Statement'!H11</f>
        <v>#NAME?</v>
      </c>
    </row>
    <row r="37" spans="2:10" x14ac:dyDescent="0.2">
      <c r="B37" s="741" t="s">
        <v>1273</v>
      </c>
      <c r="C37" s="2442" t="s">
        <v>1167</v>
      </c>
      <c r="D37" s="2485" t="e">
        <f ca="1">'Balance Sheet'!D8/'Income Statement'!D11</f>
        <v>#NAME?</v>
      </c>
      <c r="E37" s="2485" t="e">
        <f ca="1">'Balance Sheet'!E8/'Income Statement'!E11</f>
        <v>#NAME?</v>
      </c>
      <c r="F37" s="2485" t="e">
        <f ca="1">'Balance Sheet'!F8/'Income Statement'!F11</f>
        <v>#NAME?</v>
      </c>
      <c r="G37" s="2485" t="e">
        <f ca="1">'Balance Sheet'!G8/'Income Statement'!G11</f>
        <v>#NAME?</v>
      </c>
      <c r="H37" s="1384" t="e">
        <f ca="1">'Balance Sheet'!H8/'Income Statement'!H11</f>
        <v>#NAME?</v>
      </c>
    </row>
    <row r="38" spans="2:10" x14ac:dyDescent="0.2">
      <c r="B38" s="742" t="s">
        <v>1274</v>
      </c>
      <c r="C38" s="2492" t="s">
        <v>1167</v>
      </c>
      <c r="D38" s="2486" t="e">
        <f ca="1">'Balance Sheet'!D20/'Income Statement'!D11</f>
        <v>#NAME?</v>
      </c>
      <c r="E38" s="2486" t="e">
        <f ca="1">'Balance Sheet'!E20/'Income Statement'!E11</f>
        <v>#NAME?</v>
      </c>
      <c r="F38" s="2486" t="e">
        <f ca="1">'Balance Sheet'!F20/'Income Statement'!F11</f>
        <v>#NAME?</v>
      </c>
      <c r="G38" s="2486" t="e">
        <f ca="1">'Balance Sheet'!G20/'Income Statement'!G11</f>
        <v>#NAME?</v>
      </c>
      <c r="H38" s="1385" t="e">
        <f ca="1">'Balance Sheet'!H20/'Income Statement'!H11</f>
        <v>#NAME?</v>
      </c>
    </row>
    <row r="39" spans="2:10" x14ac:dyDescent="0.2">
      <c r="B39" s="147"/>
      <c r="C39" s="687"/>
      <c r="D39" s="523"/>
      <c r="J39" s="678"/>
    </row>
    <row r="40" spans="2:10" x14ac:dyDescent="0.2">
      <c r="B40" s="1515" t="s">
        <v>1275</v>
      </c>
      <c r="C40" s="1513"/>
      <c r="D40" s="1513"/>
      <c r="E40" s="1513"/>
      <c r="F40" s="1513"/>
      <c r="G40" s="1513"/>
      <c r="H40" s="1514"/>
    </row>
    <row r="41" spans="2:10" x14ac:dyDescent="0.2">
      <c r="B41" s="785" t="s">
        <v>1276</v>
      </c>
      <c r="C41" s="2495" t="s">
        <v>1167</v>
      </c>
      <c r="D41" s="2498" t="e">
        <f ca="1">Valuation!D7/(('Balance Sheet'!C17+'Balance Sheet'!D17)/2)</f>
        <v>#NAME?</v>
      </c>
      <c r="E41" s="2498" t="e">
        <f ca="1">Valuation!E7/(('Balance Sheet'!D17+'Balance Sheet'!E17)/2)</f>
        <v>#NAME?</v>
      </c>
      <c r="F41" s="2498" t="e">
        <f ca="1">Valuation!F7/(('Balance Sheet'!E17+'Balance Sheet'!F17)/2)</f>
        <v>#NAME?</v>
      </c>
      <c r="G41" s="2498" t="e">
        <f ca="1">Valuation!G7/(('Balance Sheet'!F17+'Balance Sheet'!G17)/2)</f>
        <v>#NAME?</v>
      </c>
      <c r="H41" s="1386" t="e">
        <f ca="1">Valuation!H7/(('Balance Sheet'!G17+'Balance Sheet'!H17)/2)</f>
        <v>#NAME?</v>
      </c>
    </row>
    <row r="42" spans="2:10" x14ac:dyDescent="0.2">
      <c r="B42" s="785" t="s">
        <v>1277</v>
      </c>
      <c r="C42" s="2496" t="s">
        <v>1167</v>
      </c>
      <c r="D42" s="2498" t="e">
        <f ca="1">Valuation!D7/'Income Statement'!D11</f>
        <v>#NAME?</v>
      </c>
      <c r="E42" s="2498" t="e">
        <f ca="1">Valuation!E7/'Income Statement'!E11</f>
        <v>#NAME?</v>
      </c>
      <c r="F42" s="2498" t="e">
        <f ca="1">Valuation!F7/'Income Statement'!F11</f>
        <v>#NAME?</v>
      </c>
      <c r="G42" s="2498" t="e">
        <f ca="1">Valuation!G7/'Income Statement'!G11</f>
        <v>#NAME?</v>
      </c>
      <c r="H42" s="1386" t="e">
        <f ca="1">Valuation!H7/'Income Statement'!H11</f>
        <v>#NAME?</v>
      </c>
    </row>
    <row r="43" spans="2:10" x14ac:dyDescent="0.2">
      <c r="B43" s="790" t="s">
        <v>1278</v>
      </c>
      <c r="C43" s="2497" t="s">
        <v>1167</v>
      </c>
      <c r="D43" s="2499" t="e">
        <f ca="1">Valuation!D7/(('Balance Sheet'!D26+'Balance Sheet'!C26)/2)</f>
        <v>#NAME?</v>
      </c>
      <c r="E43" s="2499" t="e">
        <f ca="1">Valuation!E7/(('Balance Sheet'!E26+'Balance Sheet'!D26)/2)</f>
        <v>#NAME?</v>
      </c>
      <c r="F43" s="2499" t="e">
        <f ca="1">Valuation!F7/(('Balance Sheet'!E26+'Balance Sheet'!F26)/2)</f>
        <v>#NAME?</v>
      </c>
      <c r="G43" s="2499" t="e">
        <f ca="1">Valuation!G7/(('Balance Sheet'!G26+'Balance Sheet'!F26)/2)</f>
        <v>#NAME?</v>
      </c>
      <c r="H43" s="1387" t="e">
        <f ca="1">Valuation!H7/(('Balance Sheet'!G26+'Balance Sheet'!H26)/2)</f>
        <v>#NAME?</v>
      </c>
    </row>
  </sheetData>
  <phoneticPr fontId="59" type="noConversion"/>
  <hyperlinks>
    <hyperlink ref="A1" location="INDEX!A1" display="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E1"/>
  <sheetViews>
    <sheetView workbookViewId="0"/>
  </sheetViews>
  <sheetFormatPr baseColWidth="10" defaultColWidth="8.83203125" defaultRowHeight="16" x14ac:dyDescent="0.2"/>
  <sheetData>
    <row r="1" spans="1:5" x14ac:dyDescent="0.2">
      <c r="A1" s="2565" t="s">
        <v>1444</v>
      </c>
      <c r="B1" s="2565" t="s">
        <v>1440</v>
      </c>
      <c r="C1" s="2565" t="s">
        <v>1441</v>
      </c>
      <c r="D1" s="2565" t="s">
        <v>1442</v>
      </c>
      <c r="E1" s="2565" t="s">
        <v>1443</v>
      </c>
    </row>
  </sheetData>
  <phoneticPr fontId="5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I19"/>
  <sheetViews>
    <sheetView showGridLines="0" workbookViewId="0">
      <pane ySplit="3" topLeftCell="A25" activePane="bottomLeft" state="frozen"/>
      <selection pane="bottomLeft" activeCell="D29" sqref="D29"/>
    </sheetView>
  </sheetViews>
  <sheetFormatPr baseColWidth="10" defaultColWidth="8.83203125" defaultRowHeight="16" x14ac:dyDescent="0.2"/>
  <cols>
    <col min="1" max="1" width="8.83203125" style="745"/>
    <col min="2" max="2" width="22" style="745" customWidth="1"/>
    <col min="3" max="8" width="12.6640625" style="745" customWidth="1"/>
    <col min="9" max="16384" width="8.83203125" style="745"/>
  </cols>
  <sheetData>
    <row r="1" spans="1:9" x14ac:dyDescent="0.2">
      <c r="A1" s="1771" t="s">
        <v>38</v>
      </c>
    </row>
    <row r="2" spans="1:9" x14ac:dyDescent="0.2">
      <c r="B2" s="1338" t="s">
        <v>1323</v>
      </c>
      <c r="C2" s="791"/>
      <c r="D2" s="791"/>
      <c r="E2" s="791"/>
      <c r="F2" s="791"/>
      <c r="G2" s="791"/>
      <c r="H2" s="791"/>
    </row>
    <row r="3" spans="1:9" ht="18" thickTop="1" thickBot="1" x14ac:dyDescent="0.25">
      <c r="B3" s="1391" t="s">
        <v>1137</v>
      </c>
      <c r="C3" s="1392" t="s">
        <v>188</v>
      </c>
      <c r="D3" s="1392" t="s">
        <v>71</v>
      </c>
      <c r="E3" s="1392" t="s">
        <v>72</v>
      </c>
      <c r="F3" s="1392" t="s">
        <v>73</v>
      </c>
      <c r="G3" s="1392" t="s">
        <v>74</v>
      </c>
      <c r="H3" s="1393" t="s">
        <v>75</v>
      </c>
    </row>
    <row r="4" spans="1:9" ht="18" thickTop="1" thickBot="1" x14ac:dyDescent="0.25">
      <c r="B4" s="891" t="s">
        <v>1324</v>
      </c>
      <c r="C4" s="2523" t="e">
        <f ca="1">'Balance Sheet'!C24</f>
        <v>#NAME?</v>
      </c>
      <c r="D4" s="2523" t="e">
        <f ca="1">'Balance Sheet'!D24-'Balance Sheet'!C24</f>
        <v>#NAME?</v>
      </c>
      <c r="E4" s="2523" t="e">
        <f ca="1">'Balance Sheet'!E24-'Balance Sheet'!D24</f>
        <v>#NAME?</v>
      </c>
      <c r="F4" s="2523"/>
      <c r="G4" s="2523"/>
      <c r="H4" s="1237"/>
    </row>
    <row r="5" spans="1:9" ht="17" thickTop="1" x14ac:dyDescent="0.2">
      <c r="B5" s="2535" t="s">
        <v>1325</v>
      </c>
      <c r="C5" s="2523" t="e">
        <f ca="1">'Balance Sheet'!C24</f>
        <v>#NAME?</v>
      </c>
      <c r="D5" s="2523" t="e">
        <f ca="1">D4-C14</f>
        <v>#NAME?</v>
      </c>
      <c r="E5" s="2523" t="e">
        <f ca="1">'Balance Sheet'!E24-'Balance Sheet'!D24</f>
        <v>#NAME?</v>
      </c>
      <c r="F5" s="2523" t="e">
        <f ca="1">'Balance Sheet'!F24-'Balance Sheet'!E24</f>
        <v>#NAME?</v>
      </c>
      <c r="G5" s="2523" t="e">
        <f ca="1">'Balance Sheet'!G24-'Balance Sheet'!F24</f>
        <v>#NAME?</v>
      </c>
      <c r="H5" s="1236" t="e">
        <f ca="1">'Balance Sheet'!H24-'Balance Sheet'!G24</f>
        <v>#NAME?</v>
      </c>
    </row>
    <row r="6" spans="1:9" x14ac:dyDescent="0.2">
      <c r="B6" s="899" t="s">
        <v>1326</v>
      </c>
      <c r="C6" s="2512">
        <v>250000</v>
      </c>
      <c r="D6" s="2512">
        <v>0</v>
      </c>
      <c r="E6" s="2512">
        <v>0</v>
      </c>
      <c r="F6" s="2512">
        <v>0</v>
      </c>
      <c r="G6" s="2512">
        <v>0</v>
      </c>
      <c r="H6" s="1237">
        <v>0</v>
      </c>
    </row>
    <row r="7" spans="1:9" x14ac:dyDescent="0.2">
      <c r="B7" s="899" t="s">
        <v>1327</v>
      </c>
      <c r="C7" s="2512">
        <v>250000</v>
      </c>
      <c r="D7" s="2512">
        <v>0</v>
      </c>
      <c r="E7" s="2512">
        <v>0</v>
      </c>
      <c r="F7" s="2512">
        <v>0</v>
      </c>
      <c r="G7" s="2512">
        <v>0</v>
      </c>
      <c r="H7" s="1237">
        <v>0</v>
      </c>
    </row>
    <row r="8" spans="1:9" ht="17" thickBot="1" x14ac:dyDescent="0.25">
      <c r="B8" s="899" t="s">
        <v>1328</v>
      </c>
      <c r="C8" s="2512">
        <v>250000</v>
      </c>
      <c r="D8" s="2512">
        <f>C7-C8</f>
        <v>0</v>
      </c>
      <c r="E8" s="2512">
        <v>0</v>
      </c>
      <c r="F8" s="2512">
        <v>0</v>
      </c>
      <c r="G8" s="2512">
        <v>0</v>
      </c>
      <c r="H8" s="1237">
        <v>0</v>
      </c>
    </row>
    <row r="9" spans="1:9" ht="17" thickTop="1" x14ac:dyDescent="0.2">
      <c r="B9" s="2535" t="s">
        <v>1329</v>
      </c>
      <c r="C9" s="2523" t="e">
        <f ca="1">IF((C5-SUM(C6:C8))&lt;0,0,(C5-SUM(C6:C8)))</f>
        <v>#NAME?</v>
      </c>
      <c r="D9" s="2523" t="e">
        <f t="shared" ref="D9:H9" ca="1" si="0">D5-SUM(D6:D8)</f>
        <v>#NAME?</v>
      </c>
      <c r="E9" s="2523" t="e">
        <f t="shared" ca="1" si="0"/>
        <v>#NAME?</v>
      </c>
      <c r="F9" s="2523" t="e">
        <f t="shared" ca="1" si="0"/>
        <v>#NAME?</v>
      </c>
      <c r="G9" s="2523" t="e">
        <f t="shared" ca="1" si="0"/>
        <v>#NAME?</v>
      </c>
      <c r="H9" s="1236" t="e">
        <f t="shared" ca="1" si="0"/>
        <v>#NAME?</v>
      </c>
    </row>
    <row r="10" spans="1:9" x14ac:dyDescent="0.2">
      <c r="B10" s="899" t="s">
        <v>1330</v>
      </c>
      <c r="C10" s="2512">
        <v>0</v>
      </c>
      <c r="D10" s="2512">
        <v>500000</v>
      </c>
      <c r="E10" s="2512" t="e">
        <f ca="1">D14</f>
        <v>#NAME?</v>
      </c>
      <c r="F10" s="2512">
        <v>0</v>
      </c>
      <c r="G10" s="2512">
        <v>0</v>
      </c>
      <c r="H10" s="1237">
        <v>0</v>
      </c>
      <c r="I10" s="1"/>
    </row>
    <row r="11" spans="1:9" x14ac:dyDescent="0.2">
      <c r="B11" s="899" t="s">
        <v>1331</v>
      </c>
      <c r="C11" s="2512">
        <v>0</v>
      </c>
      <c r="D11" s="2512">
        <v>300000</v>
      </c>
      <c r="E11" s="2512">
        <v>0</v>
      </c>
      <c r="F11" s="2512">
        <v>0</v>
      </c>
      <c r="G11" s="2512">
        <v>0</v>
      </c>
      <c r="H11" s="1237">
        <v>0</v>
      </c>
      <c r="I11" s="1"/>
    </row>
    <row r="12" spans="1:9" x14ac:dyDescent="0.2">
      <c r="B12" s="899" t="s">
        <v>1332</v>
      </c>
      <c r="C12" s="2512">
        <v>0</v>
      </c>
      <c r="D12" s="2512" t="e">
        <f ca="1">D9-D11-D10</f>
        <v>#NAME?</v>
      </c>
      <c r="E12" s="2512">
        <v>0</v>
      </c>
      <c r="F12" s="2512">
        <v>0</v>
      </c>
      <c r="G12" s="2512">
        <v>0</v>
      </c>
      <c r="H12" s="1237">
        <v>0</v>
      </c>
      <c r="I12" s="1"/>
    </row>
    <row r="13" spans="1:9" ht="17" thickBot="1" x14ac:dyDescent="0.25">
      <c r="B13" s="1689" t="s">
        <v>1333</v>
      </c>
      <c r="C13" s="2533">
        <v>0</v>
      </c>
      <c r="D13" s="2534">
        <v>0</v>
      </c>
      <c r="E13" s="2533" t="e">
        <f ca="1">E9</f>
        <v>#NAME?</v>
      </c>
      <c r="F13" s="2533">
        <v>0</v>
      </c>
      <c r="G13" s="2533">
        <v>0</v>
      </c>
      <c r="H13" s="1237">
        <v>0</v>
      </c>
      <c r="I13" s="1"/>
    </row>
    <row r="14" spans="1:9" ht="18" thickTop="1" thickBot="1" x14ac:dyDescent="0.25">
      <c r="B14" s="1487" t="s">
        <v>1334</v>
      </c>
      <c r="C14" s="1488" t="e">
        <f ca="1">SUM(C6:C8)-C5</f>
        <v>#NAME?</v>
      </c>
      <c r="D14" s="1488" t="e">
        <f ca="1">SUM(D10:D12)-D9</f>
        <v>#NAME?</v>
      </c>
      <c r="E14" s="1488" t="e">
        <f ca="1">E9-E13</f>
        <v>#NAME?</v>
      </c>
      <c r="F14" s="1488" t="e">
        <f t="shared" ref="F14:H14" ca="1" si="1">F9-F13</f>
        <v>#NAME?</v>
      </c>
      <c r="G14" s="1488" t="e">
        <f t="shared" ca="1" si="1"/>
        <v>#NAME?</v>
      </c>
      <c r="H14" s="1489" t="e">
        <f t="shared" ca="1" si="1"/>
        <v>#NAME?</v>
      </c>
    </row>
    <row r="15" spans="1:9" x14ac:dyDescent="0.2">
      <c r="F15" s="1214"/>
      <c r="G15" s="1214"/>
      <c r="H15" s="1214"/>
    </row>
    <row r="19" spans="3:5" x14ac:dyDescent="0.2">
      <c r="C19" s="1214"/>
      <c r="D19" s="1214"/>
      <c r="E19" s="1214"/>
    </row>
  </sheetData>
  <phoneticPr fontId="59" type="noConversion"/>
  <hyperlinks>
    <hyperlink ref="A1"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showGridLines="0" zoomScale="85" workbookViewId="0"/>
  </sheetViews>
  <sheetFormatPr baseColWidth="10" defaultColWidth="8.83203125" defaultRowHeight="16" x14ac:dyDescent="0.2"/>
  <sheetData>
    <row r="1" spans="1:1" x14ac:dyDescent="0.2">
      <c r="A1" s="1771" t="s">
        <v>38</v>
      </c>
    </row>
  </sheetData>
  <phoneticPr fontId="59" type="noConversion"/>
  <hyperlinks>
    <hyperlink ref="A1" location="index!A1" display="Index"/>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H18"/>
  <sheetViews>
    <sheetView showGridLines="0" topLeftCell="F1" workbookViewId="0">
      <pane ySplit="4" topLeftCell="A23" activePane="bottomLeft" state="frozen"/>
      <selection pane="bottomLeft" activeCell="J27" sqref="J27"/>
    </sheetView>
  </sheetViews>
  <sheetFormatPr baseColWidth="10" defaultColWidth="8.83203125" defaultRowHeight="16" x14ac:dyDescent="0.2"/>
  <cols>
    <col min="1" max="1" width="8.83203125" style="745"/>
    <col min="2" max="2" width="27.83203125" style="745" customWidth="1"/>
    <col min="3" max="3" width="7.6640625" style="745" bestFit="1" customWidth="1"/>
    <col min="4" max="5" width="11" style="745" bestFit="1" customWidth="1"/>
    <col min="6" max="8" width="12" style="745" bestFit="1" customWidth="1"/>
    <col min="9" max="16384" width="8.83203125" style="745"/>
  </cols>
  <sheetData>
    <row r="1" spans="1:8" x14ac:dyDescent="0.2">
      <c r="A1" s="1771" t="s">
        <v>38</v>
      </c>
    </row>
    <row r="2" spans="1:8" x14ac:dyDescent="0.2">
      <c r="B2" s="746" t="s">
        <v>1134</v>
      </c>
    </row>
    <row r="3" spans="1:8" x14ac:dyDescent="0.2">
      <c r="B3" s="746" t="s">
        <v>33</v>
      </c>
    </row>
    <row r="4" spans="1:8" x14ac:dyDescent="0.2">
      <c r="B4" s="745" t="s">
        <v>1137</v>
      </c>
      <c r="C4" s="747" t="s">
        <v>1213</v>
      </c>
      <c r="D4" s="747" t="s">
        <v>71</v>
      </c>
      <c r="E4" s="747" t="s">
        <v>72</v>
      </c>
      <c r="F4" s="747" t="s">
        <v>73</v>
      </c>
      <c r="G4" s="747" t="s">
        <v>74</v>
      </c>
      <c r="H4" s="747" t="s">
        <v>75</v>
      </c>
    </row>
    <row r="5" spans="1:8" ht="18" thickTop="1" thickBot="1" x14ac:dyDescent="0.25">
      <c r="B5" s="1515" t="s">
        <v>1335</v>
      </c>
      <c r="C5" s="1513"/>
      <c r="D5" s="1513"/>
      <c r="E5" s="1513"/>
      <c r="F5" s="1513"/>
      <c r="G5" s="1513"/>
      <c r="H5" s="1514"/>
    </row>
    <row r="6" spans="1:8" ht="17" thickTop="1" x14ac:dyDescent="0.2">
      <c r="B6" s="1323" t="s">
        <v>1336</v>
      </c>
      <c r="C6" s="2505" t="s">
        <v>1167</v>
      </c>
      <c r="D6" s="2508">
        <f>'Avg.Weighted Manufacturer Price'!F9</f>
        <v>80.561016949152545</v>
      </c>
      <c r="E6" s="2508">
        <f>'Avg.Weighted Manufacturer Price'!F16</f>
        <v>78.128888213851766</v>
      </c>
      <c r="F6" s="2508">
        <f>'Avg.Weighted Manufacturer Price'!F25</f>
        <v>77.474995001098407</v>
      </c>
      <c r="G6" s="2508">
        <f>'Avg.Weighted Manufacturer Price'!F34</f>
        <v>73.278874137354507</v>
      </c>
      <c r="H6" s="1325">
        <f>'Avg.Weighted Manufacturer Price'!F43</f>
        <v>72.87782346630911</v>
      </c>
    </row>
    <row r="7" spans="1:8" x14ac:dyDescent="0.2">
      <c r="B7" s="1323" t="s">
        <v>1337</v>
      </c>
      <c r="C7" s="2506" t="s">
        <v>1167</v>
      </c>
      <c r="D7" s="2509" t="e">
        <f ca="1">Inventory!C38</f>
        <v>#NAME?</v>
      </c>
      <c r="E7" s="2509" t="e">
        <f ca="1">Inventory!C72</f>
        <v>#NAME?</v>
      </c>
      <c r="F7" s="2509" t="e">
        <f ca="1">Inventory!C106</f>
        <v>#NAME?</v>
      </c>
      <c r="G7" s="2509" t="e">
        <f ca="1">Inventory!C140</f>
        <v>#NAME?</v>
      </c>
      <c r="H7" s="1325" t="e">
        <f ca="1">Inventory!C174</f>
        <v>#NAME?</v>
      </c>
    </row>
    <row r="8" spans="1:8" x14ac:dyDescent="0.2">
      <c r="B8" s="1323" t="s">
        <v>1338</v>
      </c>
      <c r="C8" s="2506" t="s">
        <v>1167</v>
      </c>
      <c r="D8" s="2509" t="e">
        <f ca="1">D6-D7</f>
        <v>#NAME?</v>
      </c>
      <c r="E8" s="2509" t="e">
        <f ca="1">E6-E7</f>
        <v>#NAME?</v>
      </c>
      <c r="F8" s="2509" t="e">
        <f ca="1">F6-F7</f>
        <v>#NAME?</v>
      </c>
      <c r="G8" s="2509" t="e">
        <f ca="1">G6-G7</f>
        <v>#NAME?</v>
      </c>
      <c r="H8" s="1325" t="e">
        <f ca="1">H6-H7</f>
        <v>#NAME?</v>
      </c>
    </row>
    <row r="9" spans="1:8" x14ac:dyDescent="0.2">
      <c r="B9" s="1323" t="s">
        <v>1339</v>
      </c>
      <c r="C9" s="2506" t="s">
        <v>1167</v>
      </c>
      <c r="D9" s="2510" t="e">
        <f ca="1">'Income Statement'!D13+'Income Statement'!C22+'Income Statement'!C23+'Income Statement'!D28</f>
        <v>#NAME?</v>
      </c>
      <c r="E9" s="2510" t="e">
        <f ca="1">'Income Statement'!E13+'Income Statement'!D22+'Income Statement'!D23+'Income Statement'!E28</f>
        <v>#NAME?</v>
      </c>
      <c r="F9" s="2510" t="e">
        <f ca="1">'Income Statement'!F13+'Income Statement'!E22+'Income Statement'!E23+'Income Statement'!F28</f>
        <v>#NAME?</v>
      </c>
      <c r="G9" s="2510" t="e">
        <f ca="1">'Income Statement'!G13+'Income Statement'!F22+'Income Statement'!F23+'Income Statement'!G28</f>
        <v>#NAME?</v>
      </c>
      <c r="H9" s="1327" t="e">
        <f ca="1">'Income Statement'!H13+'Income Statement'!G22+'Income Statement'!G23+'Income Statement'!H28</f>
        <v>#NAME?</v>
      </c>
    </row>
    <row r="10" spans="1:8" x14ac:dyDescent="0.2">
      <c r="B10" s="1323" t="s">
        <v>1340</v>
      </c>
      <c r="C10" s="2506" t="s">
        <v>1167</v>
      </c>
      <c r="D10" s="2511" t="e">
        <f ca="1">-D9/D8</f>
        <v>#NAME?</v>
      </c>
      <c r="E10" s="2511" t="e">
        <f ca="1">-E9/E8</f>
        <v>#NAME?</v>
      </c>
      <c r="F10" s="2511" t="e">
        <f ca="1">-F9/F8</f>
        <v>#NAME?</v>
      </c>
      <c r="G10" s="2511" t="e">
        <f ca="1">-G9/G8</f>
        <v>#NAME?</v>
      </c>
      <c r="H10" s="1328" t="e">
        <f ca="1">-H9/H8</f>
        <v>#NAME?</v>
      </c>
    </row>
    <row r="11" spans="1:8" x14ac:dyDescent="0.2">
      <c r="B11" s="1323" t="s">
        <v>1341</v>
      </c>
      <c r="C11" s="2506" t="s">
        <v>1167</v>
      </c>
      <c r="D11" s="2510" t="e">
        <f ca="1">D10*D6</f>
        <v>#NAME?</v>
      </c>
      <c r="E11" s="2510" t="e">
        <f ca="1">E10*E6</f>
        <v>#NAME?</v>
      </c>
      <c r="F11" s="2510" t="e">
        <f ca="1">F10*F6</f>
        <v>#NAME?</v>
      </c>
      <c r="G11" s="2510" t="e">
        <f ca="1">G10*G6</f>
        <v>#NAME?</v>
      </c>
      <c r="H11" s="1327" t="e">
        <f ca="1">H10*H6</f>
        <v>#NAME?</v>
      </c>
    </row>
    <row r="12" spans="1:8" x14ac:dyDescent="0.2">
      <c r="B12" s="1323" t="s">
        <v>1342</v>
      </c>
      <c r="C12" s="2506" t="s">
        <v>1167</v>
      </c>
      <c r="D12" s="2512" t="e">
        <f ca="1">'Income Statement'!D11</f>
        <v>#NAME?</v>
      </c>
      <c r="E12" s="2512" t="e">
        <f ca="1">'Income Statement'!E11</f>
        <v>#NAME?</v>
      </c>
      <c r="F12" s="2512" t="e">
        <f ca="1">'Income Statement'!F11</f>
        <v>#NAME?</v>
      </c>
      <c r="G12" s="2512" t="e">
        <f ca="1">'Income Statement'!G11</f>
        <v>#NAME?</v>
      </c>
      <c r="H12" s="758" t="e">
        <f ca="1">'Income Statement'!H11</f>
        <v>#NAME?</v>
      </c>
    </row>
    <row r="13" spans="1:8" x14ac:dyDescent="0.2">
      <c r="B13" s="878" t="s">
        <v>1343</v>
      </c>
      <c r="C13" s="2507" t="s">
        <v>1167</v>
      </c>
      <c r="D13" s="2513" t="e">
        <f ca="1">(D12-D11)/D12</f>
        <v>#NAME?</v>
      </c>
      <c r="E13" s="2513" t="e">
        <f ca="1">(E12-E11)/E12</f>
        <v>#NAME?</v>
      </c>
      <c r="F13" s="2513" t="e">
        <f ca="1">(F12-F11)/F12</f>
        <v>#NAME?</v>
      </c>
      <c r="G13" s="2513" t="e">
        <f ca="1">(G12-G11)/G12</f>
        <v>#NAME?</v>
      </c>
      <c r="H13" s="1329" t="e">
        <f ca="1">(H12-H11)/H12</f>
        <v>#NAME?</v>
      </c>
    </row>
    <row r="14" spans="1:8" ht="17" thickBot="1" x14ac:dyDescent="0.25">
      <c r="B14" s="1330"/>
      <c r="C14" s="1225"/>
      <c r="D14" s="1331"/>
      <c r="E14" s="1331"/>
      <c r="F14" s="1331"/>
      <c r="G14" s="1331"/>
      <c r="H14" s="1331"/>
    </row>
    <row r="15" spans="1:8" ht="18" thickTop="1" thickBot="1" x14ac:dyDescent="0.25">
      <c r="B15" s="1515" t="s">
        <v>1344</v>
      </c>
      <c r="C15" s="1513"/>
      <c r="D15" s="1513"/>
      <c r="E15" s="1516"/>
      <c r="F15" s="1516"/>
      <c r="G15" s="1516"/>
      <c r="H15" s="1517"/>
    </row>
    <row r="16" spans="1:8" ht="17" thickTop="1" x14ac:dyDescent="0.2">
      <c r="B16" s="1323" t="s">
        <v>1345</v>
      </c>
      <c r="C16" s="2514" t="s">
        <v>1167</v>
      </c>
      <c r="D16" s="2516">
        <v>32602</v>
      </c>
      <c r="E16" s="2516">
        <v>47676</v>
      </c>
      <c r="F16" s="2516">
        <v>101697</v>
      </c>
      <c r="G16" s="2516">
        <v>164033</v>
      </c>
      <c r="H16" s="2503">
        <v>193007</v>
      </c>
    </row>
    <row r="17" spans="2:8" x14ac:dyDescent="0.2">
      <c r="B17" s="878" t="s">
        <v>1343</v>
      </c>
      <c r="C17" s="2515" t="s">
        <v>1167</v>
      </c>
      <c r="D17" s="2517" t="e">
        <f ca="1">('BASES MODEL (Base Case)'!C37-D16)/'BASES MODEL (Base Case)'!C37</f>
        <v>#NAME?</v>
      </c>
      <c r="E17" s="2517" t="e">
        <f ca="1">('BASES MODEL (Base Case)'!D37-E16)/'BASES MODEL (Base Case)'!D37</f>
        <v>#NAME?</v>
      </c>
      <c r="F17" s="2517" t="e">
        <f ca="1">('BASES MODEL (Base Case)'!E37-F16)/'BASES MODEL (Base Case)'!E37</f>
        <v>#NAME?</v>
      </c>
      <c r="G17" s="2517" t="e">
        <f ca="1">('BASES MODEL (Base Case)'!F37-G16)/'BASES MODEL (Base Case)'!F37</f>
        <v>#NAME?</v>
      </c>
      <c r="H17" s="2504" t="e">
        <f ca="1">('BASES MODEL (Base Case)'!G37-H16)/'BASES MODEL (Base Case)'!G37</f>
        <v>#NAME?</v>
      </c>
    </row>
    <row r="18" spans="2:8" x14ac:dyDescent="0.2">
      <c r="C18" s="2953" t="s">
        <v>1346</v>
      </c>
      <c r="D18" s="2953"/>
      <c r="E18" s="2953"/>
      <c r="F18" s="2953"/>
    </row>
  </sheetData>
  <mergeCells count="1">
    <mergeCell ref="C18:F18"/>
  </mergeCells>
  <phoneticPr fontId="59" type="noConversion"/>
  <hyperlinks>
    <hyperlink ref="A1"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L40"/>
  <sheetViews>
    <sheetView showGridLines="0" topLeftCell="F14" workbookViewId="0">
      <selection activeCell="J20" sqref="J20"/>
    </sheetView>
  </sheetViews>
  <sheetFormatPr baseColWidth="10" defaultColWidth="8.83203125" defaultRowHeight="16" x14ac:dyDescent="0.2"/>
  <cols>
    <col min="1" max="2" width="8.83203125" style="745"/>
    <col min="3" max="3" width="14.5" style="745" customWidth="1"/>
    <col min="4" max="4" width="13.1640625" style="745" customWidth="1"/>
    <col min="5" max="5" width="8.83203125" style="745"/>
    <col min="6" max="6" width="13.5" style="745" customWidth="1"/>
    <col min="7" max="8" width="12.6640625" style="745" customWidth="1"/>
    <col min="9" max="10" width="8.83203125" style="745"/>
    <col min="11" max="11" width="14" style="745" customWidth="1"/>
    <col min="12" max="16384" width="8.83203125" style="745"/>
  </cols>
  <sheetData>
    <row r="1" spans="1:12" x14ac:dyDescent="0.2">
      <c r="A1" s="1771" t="s">
        <v>38</v>
      </c>
    </row>
    <row r="2" spans="1:12" x14ac:dyDescent="0.2">
      <c r="B2" s="1559" t="s">
        <v>188</v>
      </c>
      <c r="C2" s="1560" t="s">
        <v>1347</v>
      </c>
      <c r="J2" s="2954" t="s">
        <v>1229</v>
      </c>
      <c r="K2" s="2955"/>
    </row>
    <row r="3" spans="1:12" ht="34" thickTop="1" thickBot="1" x14ac:dyDescent="0.25">
      <c r="B3" s="1199" t="s">
        <v>1348</v>
      </c>
      <c r="C3" s="1200" t="s">
        <v>1347</v>
      </c>
      <c r="D3" s="1200" t="s">
        <v>1349</v>
      </c>
      <c r="E3" s="1201" t="s">
        <v>1350</v>
      </c>
      <c r="F3" s="1200" t="s">
        <v>1351</v>
      </c>
      <c r="G3" s="1200" t="s">
        <v>1352</v>
      </c>
      <c r="H3" s="1202" t="s">
        <v>1353</v>
      </c>
      <c r="J3" s="1199" t="s">
        <v>836</v>
      </c>
      <c r="K3" s="1199" t="s">
        <v>1354</v>
      </c>
      <c r="L3" s="1203" t="s">
        <v>1355</v>
      </c>
    </row>
    <row r="4" spans="1:12" ht="17" thickTop="1" x14ac:dyDescent="0.2">
      <c r="B4" s="2530">
        <v>0</v>
      </c>
      <c r="C4" s="2512" t="e">
        <f ca="1">'FE Assumptions'!$C$68</f>
        <v>#NAME?</v>
      </c>
      <c r="D4" s="2512" t="e">
        <f ca="1">C4</f>
        <v>#NAME?</v>
      </c>
      <c r="E4" s="2521">
        <v>7</v>
      </c>
      <c r="F4" s="2519">
        <v>0.1429</v>
      </c>
      <c r="G4" s="2512" t="e">
        <f ca="1">F4*C4</f>
        <v>#NAME?</v>
      </c>
      <c r="H4" s="758" t="e">
        <f t="shared" ref="H4:H9" ca="1" si="0">D4-G4</f>
        <v>#NAME?</v>
      </c>
      <c r="J4" s="1205">
        <v>0</v>
      </c>
      <c r="K4" s="1206" t="e">
        <f ca="1">G4</f>
        <v>#NAME?</v>
      </c>
      <c r="L4" s="1207" t="e">
        <f t="shared" ref="L4:L9" ca="1" si="1">K4-G4</f>
        <v>#NAME?</v>
      </c>
    </row>
    <row r="5" spans="1:12" x14ac:dyDescent="0.2">
      <c r="B5" s="2532">
        <v>1</v>
      </c>
      <c r="C5" s="2512" t="e">
        <f ca="1">'FE Assumptions'!$C$68</f>
        <v>#NAME?</v>
      </c>
      <c r="D5" s="2512" t="e">
        <f ca="1">D4-G4</f>
        <v>#NAME?</v>
      </c>
      <c r="E5" s="2521">
        <v>6</v>
      </c>
      <c r="F5" s="2519">
        <v>0.24490000000000001</v>
      </c>
      <c r="G5" s="2512" t="e">
        <f t="shared" ref="G5:G9" ca="1" si="2">F5*C5</f>
        <v>#NAME?</v>
      </c>
      <c r="H5" s="758" t="e">
        <f t="shared" ca="1" si="0"/>
        <v>#NAME?</v>
      </c>
      <c r="J5" s="1205">
        <f>J4+1</f>
        <v>1</v>
      </c>
      <c r="K5" s="1206" t="e">
        <f ca="1">G5+G13</f>
        <v>#NAME?</v>
      </c>
      <c r="L5" s="1208" t="e">
        <f t="shared" ca="1" si="1"/>
        <v>#NAME?</v>
      </c>
    </row>
    <row r="6" spans="1:12" x14ac:dyDescent="0.2">
      <c r="B6" s="2532">
        <v>2</v>
      </c>
      <c r="C6" s="2512" t="e">
        <f ca="1">'FE Assumptions'!$C$68</f>
        <v>#NAME?</v>
      </c>
      <c r="D6" s="2512" t="e">
        <f t="shared" ref="D6:D9" ca="1" si="3">D5-G5</f>
        <v>#NAME?</v>
      </c>
      <c r="E6" s="2521">
        <v>5</v>
      </c>
      <c r="F6" s="2519">
        <v>0.1749</v>
      </c>
      <c r="G6" s="2512" t="e">
        <f t="shared" ca="1" si="2"/>
        <v>#NAME?</v>
      </c>
      <c r="H6" s="758" t="e">
        <f t="shared" ca="1" si="0"/>
        <v>#NAME?</v>
      </c>
      <c r="J6" s="1205">
        <f t="shared" ref="J6:J9" si="4">J5+1</f>
        <v>2</v>
      </c>
      <c r="K6" s="1206" t="e">
        <f ca="1">G6+G14+G21</f>
        <v>#NAME?</v>
      </c>
      <c r="L6" s="1208" t="e">
        <f t="shared" ca="1" si="1"/>
        <v>#NAME?</v>
      </c>
    </row>
    <row r="7" spans="1:12" x14ac:dyDescent="0.2">
      <c r="B7" s="2532">
        <v>3</v>
      </c>
      <c r="C7" s="2512" t="e">
        <f ca="1">'FE Assumptions'!$C$68</f>
        <v>#NAME?</v>
      </c>
      <c r="D7" s="2512" t="e">
        <f t="shared" ca="1" si="3"/>
        <v>#NAME?</v>
      </c>
      <c r="E7" s="2521">
        <v>4</v>
      </c>
      <c r="F7" s="2519">
        <v>0.1249</v>
      </c>
      <c r="G7" s="2512" t="e">
        <f t="shared" ca="1" si="2"/>
        <v>#NAME?</v>
      </c>
      <c r="H7" s="758" t="e">
        <f t="shared" ca="1" si="0"/>
        <v>#NAME?</v>
      </c>
      <c r="J7" s="1205">
        <f t="shared" si="4"/>
        <v>3</v>
      </c>
      <c r="K7" s="1206" t="e">
        <f ca="1">G7+G15+G22+G28</f>
        <v>#NAME?</v>
      </c>
      <c r="L7" s="1208" t="e">
        <f t="shared" ca="1" si="1"/>
        <v>#NAME?</v>
      </c>
    </row>
    <row r="8" spans="1:12" x14ac:dyDescent="0.2">
      <c r="B8" s="2532">
        <v>4</v>
      </c>
      <c r="C8" s="2512" t="e">
        <f ca="1">'FE Assumptions'!$C$68</f>
        <v>#NAME?</v>
      </c>
      <c r="D8" s="2512" t="e">
        <f t="shared" ca="1" si="3"/>
        <v>#NAME?</v>
      </c>
      <c r="E8" s="2521">
        <v>3</v>
      </c>
      <c r="F8" s="2519">
        <v>8.9300000000000004E-2</v>
      </c>
      <c r="G8" s="2512" t="e">
        <f t="shared" ca="1" si="2"/>
        <v>#NAME?</v>
      </c>
      <c r="H8" s="758" t="e">
        <f t="shared" ca="1" si="0"/>
        <v>#NAME?</v>
      </c>
      <c r="J8" s="1205">
        <f t="shared" si="4"/>
        <v>4</v>
      </c>
      <c r="K8" s="1206" t="e">
        <f ca="1">G8+G16+G23+G29+G34</f>
        <v>#NAME?</v>
      </c>
      <c r="L8" s="1208" t="e">
        <f t="shared" ca="1" si="1"/>
        <v>#NAME?</v>
      </c>
    </row>
    <row r="9" spans="1:12" ht="17" thickBot="1" x14ac:dyDescent="0.25">
      <c r="B9" s="2531">
        <v>5</v>
      </c>
      <c r="C9" s="2518" t="e">
        <f ca="1">'FE Assumptions'!$C$68</f>
        <v>#NAME?</v>
      </c>
      <c r="D9" s="2518" t="e">
        <f t="shared" ca="1" si="3"/>
        <v>#NAME?</v>
      </c>
      <c r="E9" s="2522">
        <v>2</v>
      </c>
      <c r="F9" s="2520">
        <v>8.9200000000000002E-2</v>
      </c>
      <c r="G9" s="2518" t="e">
        <f t="shared" ca="1" si="2"/>
        <v>#NAME?</v>
      </c>
      <c r="H9" s="1210" t="e">
        <f t="shared" ca="1" si="0"/>
        <v>#NAME?</v>
      </c>
      <c r="J9" s="1211">
        <f t="shared" si="4"/>
        <v>5</v>
      </c>
      <c r="K9" s="1212" t="e">
        <f ca="1">G9+G17+G24+G30+G35+G39</f>
        <v>#NAME?</v>
      </c>
      <c r="L9" s="1213" t="e">
        <f t="shared" ca="1" si="1"/>
        <v>#NAME?</v>
      </c>
    </row>
    <row r="10" spans="1:12" ht="18" thickTop="1" thickBot="1" x14ac:dyDescent="0.25"/>
    <row r="11" spans="1:12" x14ac:dyDescent="0.2">
      <c r="B11" s="1559" t="s">
        <v>71</v>
      </c>
      <c r="C11" s="1560" t="s">
        <v>1347</v>
      </c>
    </row>
    <row r="12" spans="1:12" ht="34" thickTop="1" thickBot="1" x14ac:dyDescent="0.25">
      <c r="B12" s="1199" t="s">
        <v>1348</v>
      </c>
      <c r="C12" s="1200" t="s">
        <v>1347</v>
      </c>
      <c r="D12" s="1200" t="s">
        <v>1349</v>
      </c>
      <c r="E12" s="1201" t="s">
        <v>1350</v>
      </c>
      <c r="F12" s="1200" t="s">
        <v>1351</v>
      </c>
      <c r="G12" s="1200" t="s">
        <v>1352</v>
      </c>
      <c r="H12" s="1202" t="s">
        <v>1353</v>
      </c>
    </row>
    <row r="13" spans="1:12" ht="17" thickTop="1" x14ac:dyDescent="0.2">
      <c r="B13" s="2530">
        <v>1</v>
      </c>
      <c r="C13" s="2512" t="e">
        <f ca="1">'FE Assumptions'!$D$68</f>
        <v>#NAME?</v>
      </c>
      <c r="D13" s="2512" t="e">
        <f ca="1">C13</f>
        <v>#NAME?</v>
      </c>
      <c r="E13" s="2521">
        <v>7</v>
      </c>
      <c r="F13" s="2519">
        <v>0.1429</v>
      </c>
      <c r="G13" s="2512" t="e">
        <f ca="1">F13*C13</f>
        <v>#NAME?</v>
      </c>
      <c r="H13" s="758" t="e">
        <f ca="1">D13-G13</f>
        <v>#NAME?</v>
      </c>
    </row>
    <row r="14" spans="1:12" x14ac:dyDescent="0.2">
      <c r="B14" s="2532">
        <f>B13+1</f>
        <v>2</v>
      </c>
      <c r="C14" s="2512" t="e">
        <f ca="1">'FE Assumptions'!$D$68</f>
        <v>#NAME?</v>
      </c>
      <c r="D14" s="2512" t="e">
        <f ca="1">D13-G13</f>
        <v>#NAME?</v>
      </c>
      <c r="E14" s="2521">
        <v>6</v>
      </c>
      <c r="F14" s="2519">
        <v>0.24490000000000001</v>
      </c>
      <c r="G14" s="2512" t="e">
        <f t="shared" ref="G14:G17" ca="1" si="5">F14*C14</f>
        <v>#NAME?</v>
      </c>
      <c r="H14" s="758" t="e">
        <f ca="1">D14-G14</f>
        <v>#NAME?</v>
      </c>
    </row>
    <row r="15" spans="1:12" x14ac:dyDescent="0.2">
      <c r="B15" s="2532">
        <f t="shared" ref="B15:B17" si="6">B14+1</f>
        <v>3</v>
      </c>
      <c r="C15" s="2512" t="e">
        <f ca="1">'FE Assumptions'!$D$68</f>
        <v>#NAME?</v>
      </c>
      <c r="D15" s="2512" t="e">
        <f t="shared" ref="D15:D17" ca="1" si="7">D14-G14</f>
        <v>#NAME?</v>
      </c>
      <c r="E15" s="2521">
        <v>5</v>
      </c>
      <c r="F15" s="2519">
        <v>0.1749</v>
      </c>
      <c r="G15" s="2512" t="e">
        <f t="shared" ca="1" si="5"/>
        <v>#NAME?</v>
      </c>
      <c r="H15" s="758" t="e">
        <f ca="1">D15-G15</f>
        <v>#NAME?</v>
      </c>
    </row>
    <row r="16" spans="1:12" x14ac:dyDescent="0.2">
      <c r="B16" s="2532">
        <f t="shared" si="6"/>
        <v>4</v>
      </c>
      <c r="C16" s="2512" t="e">
        <f ca="1">'FE Assumptions'!$D$68</f>
        <v>#NAME?</v>
      </c>
      <c r="D16" s="2512" t="e">
        <f t="shared" ca="1" si="7"/>
        <v>#NAME?</v>
      </c>
      <c r="E16" s="2521">
        <v>4</v>
      </c>
      <c r="F16" s="2519">
        <v>0.1249</v>
      </c>
      <c r="G16" s="2512" t="e">
        <f t="shared" ca="1" si="5"/>
        <v>#NAME?</v>
      </c>
      <c r="H16" s="758" t="e">
        <f ca="1">D16-G16</f>
        <v>#NAME?</v>
      </c>
    </row>
    <row r="17" spans="2:8" x14ac:dyDescent="0.2">
      <c r="B17" s="2531">
        <f t="shared" si="6"/>
        <v>5</v>
      </c>
      <c r="C17" s="2518" t="e">
        <f ca="1">'FE Assumptions'!$D$68</f>
        <v>#NAME?</v>
      </c>
      <c r="D17" s="2518" t="e">
        <f t="shared" ca="1" si="7"/>
        <v>#NAME?</v>
      </c>
      <c r="E17" s="2522">
        <v>3</v>
      </c>
      <c r="F17" s="2520">
        <v>8.9300000000000004E-2</v>
      </c>
      <c r="G17" s="2518" t="e">
        <f t="shared" ca="1" si="5"/>
        <v>#NAME?</v>
      </c>
      <c r="H17" s="1210" t="e">
        <f ca="1">D17-G17</f>
        <v>#NAME?</v>
      </c>
    </row>
    <row r="18" spans="2:8" ht="17" thickBot="1" x14ac:dyDescent="0.25"/>
    <row r="19" spans="2:8" x14ac:dyDescent="0.2">
      <c r="B19" s="1559" t="s">
        <v>72</v>
      </c>
      <c r="C19" s="1560" t="s">
        <v>1347</v>
      </c>
    </row>
    <row r="20" spans="2:8" ht="34" thickTop="1" thickBot="1" x14ac:dyDescent="0.25">
      <c r="B20" s="1199" t="s">
        <v>1348</v>
      </c>
      <c r="C20" s="1200" t="s">
        <v>1347</v>
      </c>
      <c r="D20" s="1200" t="s">
        <v>1349</v>
      </c>
      <c r="E20" s="1201" t="s">
        <v>1350</v>
      </c>
      <c r="F20" s="1200" t="s">
        <v>1351</v>
      </c>
      <c r="G20" s="1200" t="s">
        <v>1352</v>
      </c>
      <c r="H20" s="1202" t="s">
        <v>1353</v>
      </c>
    </row>
    <row r="21" spans="2:8" ht="17" thickTop="1" x14ac:dyDescent="0.2">
      <c r="B21" s="2530">
        <v>2</v>
      </c>
      <c r="C21" s="2512" t="e">
        <f ca="1">'FE Assumptions'!$E$68</f>
        <v>#NAME?</v>
      </c>
      <c r="D21" s="2512" t="e">
        <f ca="1">C21</f>
        <v>#NAME?</v>
      </c>
      <c r="E21" s="2521">
        <v>7</v>
      </c>
      <c r="F21" s="2519">
        <v>0.1429</v>
      </c>
      <c r="G21" s="2512" t="e">
        <f ca="1">C21*F21</f>
        <v>#NAME?</v>
      </c>
      <c r="H21" s="758" t="e">
        <f ca="1">D21-G21</f>
        <v>#NAME?</v>
      </c>
    </row>
    <row r="22" spans="2:8" x14ac:dyDescent="0.2">
      <c r="B22" s="2532">
        <f>B21+1</f>
        <v>3</v>
      </c>
      <c r="C22" s="2512" t="e">
        <f ca="1">'FE Assumptions'!$E$68</f>
        <v>#NAME?</v>
      </c>
      <c r="D22" s="2512" t="e">
        <f ca="1">H21</f>
        <v>#NAME?</v>
      </c>
      <c r="E22" s="2521">
        <v>6</v>
      </c>
      <c r="F22" s="2519">
        <v>0.24490000000000001</v>
      </c>
      <c r="G22" s="2512" t="e">
        <f t="shared" ref="G22:G24" ca="1" si="8">C22*F22</f>
        <v>#NAME?</v>
      </c>
      <c r="H22" s="758" t="e">
        <f ca="1">D22-G22</f>
        <v>#NAME?</v>
      </c>
    </row>
    <row r="23" spans="2:8" x14ac:dyDescent="0.2">
      <c r="B23" s="2532">
        <f t="shared" ref="B23:B24" si="9">B22+1</f>
        <v>4</v>
      </c>
      <c r="C23" s="2512" t="e">
        <f ca="1">'FE Assumptions'!$E$68</f>
        <v>#NAME?</v>
      </c>
      <c r="D23" s="2512" t="e">
        <f ca="1">H22</f>
        <v>#NAME?</v>
      </c>
      <c r="E23" s="2521">
        <v>5</v>
      </c>
      <c r="F23" s="2519">
        <v>0.1749</v>
      </c>
      <c r="G23" s="2512" t="e">
        <f t="shared" ca="1" si="8"/>
        <v>#NAME?</v>
      </c>
      <c r="H23" s="758" t="e">
        <f ca="1">D23-G23</f>
        <v>#NAME?</v>
      </c>
    </row>
    <row r="24" spans="2:8" x14ac:dyDescent="0.2">
      <c r="B24" s="2531">
        <f t="shared" si="9"/>
        <v>5</v>
      </c>
      <c r="C24" s="2518" t="e">
        <f ca="1">'FE Assumptions'!$E$68</f>
        <v>#NAME?</v>
      </c>
      <c r="D24" s="2518" t="e">
        <f ca="1">H23</f>
        <v>#NAME?</v>
      </c>
      <c r="E24" s="2522">
        <v>4</v>
      </c>
      <c r="F24" s="2520">
        <v>0.1249</v>
      </c>
      <c r="G24" s="2518" t="e">
        <f t="shared" ca="1" si="8"/>
        <v>#NAME?</v>
      </c>
      <c r="H24" s="1210" t="e">
        <f ca="1">D24-G24</f>
        <v>#NAME?</v>
      </c>
    </row>
    <row r="25" spans="2:8" ht="17" thickBot="1" x14ac:dyDescent="0.25">
      <c r="B25" s="832"/>
      <c r="D25" s="1214"/>
      <c r="H25" s="1214"/>
    </row>
    <row r="26" spans="2:8" x14ac:dyDescent="0.2">
      <c r="B26" s="1559" t="s">
        <v>73</v>
      </c>
      <c r="C26" s="1560" t="s">
        <v>1347</v>
      </c>
    </row>
    <row r="27" spans="2:8" ht="34" thickTop="1" thickBot="1" x14ac:dyDescent="0.25">
      <c r="B27" s="1199" t="s">
        <v>1348</v>
      </c>
      <c r="C27" s="1200" t="s">
        <v>1347</v>
      </c>
      <c r="D27" s="1200" t="s">
        <v>1349</v>
      </c>
      <c r="E27" s="1201" t="s">
        <v>1350</v>
      </c>
      <c r="F27" s="1200" t="s">
        <v>1351</v>
      </c>
      <c r="G27" s="1200" t="s">
        <v>1352</v>
      </c>
      <c r="H27" s="1202" t="s">
        <v>1353</v>
      </c>
    </row>
    <row r="28" spans="2:8" ht="17" thickTop="1" x14ac:dyDescent="0.2">
      <c r="B28" s="2530">
        <v>3</v>
      </c>
      <c r="C28" s="2512" t="e">
        <f ca="1">'FE Assumptions'!$F$68</f>
        <v>#NAME?</v>
      </c>
      <c r="D28" s="2512" t="e">
        <f ca="1">C28</f>
        <v>#NAME?</v>
      </c>
      <c r="E28" s="2521">
        <v>7</v>
      </c>
      <c r="F28" s="2519">
        <v>0.1429</v>
      </c>
      <c r="G28" s="2512" t="e">
        <f ca="1">C28*F28</f>
        <v>#NAME?</v>
      </c>
      <c r="H28" s="758" t="e">
        <f ca="1">D28-G28</f>
        <v>#NAME?</v>
      </c>
    </row>
    <row r="29" spans="2:8" x14ac:dyDescent="0.2">
      <c r="B29" s="2532">
        <f>B28+1</f>
        <v>4</v>
      </c>
      <c r="C29" s="2512" t="e">
        <f ca="1">'FE Assumptions'!$F$68</f>
        <v>#NAME?</v>
      </c>
      <c r="D29" s="2512" t="e">
        <f ca="1">H28</f>
        <v>#NAME?</v>
      </c>
      <c r="E29" s="2521">
        <v>6</v>
      </c>
      <c r="F29" s="2519">
        <v>0.24490000000000001</v>
      </c>
      <c r="G29" s="2512" t="e">
        <f t="shared" ref="G29:G30" ca="1" si="10">C29*F29</f>
        <v>#NAME?</v>
      </c>
      <c r="H29" s="758" t="e">
        <f ca="1">D29-G29</f>
        <v>#NAME?</v>
      </c>
    </row>
    <row r="30" spans="2:8" x14ac:dyDescent="0.2">
      <c r="B30" s="2531">
        <f t="shared" ref="B30" si="11">B29+1</f>
        <v>5</v>
      </c>
      <c r="C30" s="2518" t="e">
        <f ca="1">'FE Assumptions'!$F$68</f>
        <v>#NAME?</v>
      </c>
      <c r="D30" s="2518" t="e">
        <f ca="1">H29</f>
        <v>#NAME?</v>
      </c>
      <c r="E30" s="2522">
        <v>5</v>
      </c>
      <c r="F30" s="2520">
        <v>0.1749</v>
      </c>
      <c r="G30" s="2518" t="e">
        <f t="shared" ca="1" si="10"/>
        <v>#NAME?</v>
      </c>
      <c r="H30" s="1210" t="e">
        <f ca="1">D30-G30</f>
        <v>#NAME?</v>
      </c>
    </row>
    <row r="31" spans="2:8" ht="17" thickBot="1" x14ac:dyDescent="0.25"/>
    <row r="32" spans="2:8" x14ac:dyDescent="0.2">
      <c r="B32" s="1559" t="s">
        <v>74</v>
      </c>
      <c r="C32" s="1560" t="s">
        <v>1347</v>
      </c>
    </row>
    <row r="33" spans="2:8" ht="34" thickTop="1" thickBot="1" x14ac:dyDescent="0.25">
      <c r="B33" s="1199" t="s">
        <v>1348</v>
      </c>
      <c r="C33" s="1200" t="s">
        <v>1347</v>
      </c>
      <c r="D33" s="1200" t="s">
        <v>1349</v>
      </c>
      <c r="E33" s="1201" t="s">
        <v>1350</v>
      </c>
      <c r="F33" s="1200" t="s">
        <v>1351</v>
      </c>
      <c r="G33" s="1200" t="s">
        <v>1352</v>
      </c>
      <c r="H33" s="1202" t="s">
        <v>1353</v>
      </c>
    </row>
    <row r="34" spans="2:8" ht="17" thickTop="1" x14ac:dyDescent="0.2">
      <c r="B34" s="2530">
        <v>4</v>
      </c>
      <c r="C34" s="2523" t="e">
        <f ca="1">'FE Assumptions'!$G$68</f>
        <v>#NAME?</v>
      </c>
      <c r="D34" s="2523" t="e">
        <f ca="1">C34</f>
        <v>#NAME?</v>
      </c>
      <c r="E34" s="2524">
        <v>7</v>
      </c>
      <c r="F34" s="2525">
        <v>0.1429</v>
      </c>
      <c r="G34" s="2523" t="e">
        <f ca="1">C34*F34</f>
        <v>#NAME?</v>
      </c>
      <c r="H34" s="758" t="e">
        <f ca="1">D34-G34</f>
        <v>#NAME?</v>
      </c>
    </row>
    <row r="35" spans="2:8" x14ac:dyDescent="0.2">
      <c r="B35" s="2531">
        <f>B34+1</f>
        <v>5</v>
      </c>
      <c r="C35" s="2518" t="e">
        <f ca="1">'FE Assumptions'!$G$68</f>
        <v>#NAME?</v>
      </c>
      <c r="D35" s="2518" t="e">
        <f ca="1">H34</f>
        <v>#NAME?</v>
      </c>
      <c r="E35" s="2522">
        <v>6</v>
      </c>
      <c r="F35" s="2520">
        <v>0.24490000000000001</v>
      </c>
      <c r="G35" s="2518" t="e">
        <f ca="1">C35*F35</f>
        <v>#NAME?</v>
      </c>
      <c r="H35" s="1210" t="e">
        <f ca="1">D35-G35</f>
        <v>#NAME?</v>
      </c>
    </row>
    <row r="36" spans="2:8" ht="17" thickBot="1" x14ac:dyDescent="0.25">
      <c r="B36" s="832"/>
      <c r="D36" s="1214"/>
      <c r="H36" s="1214"/>
    </row>
    <row r="37" spans="2:8" x14ac:dyDescent="0.2">
      <c r="B37" s="1559" t="s">
        <v>75</v>
      </c>
      <c r="C37" s="1560" t="s">
        <v>1347</v>
      </c>
    </row>
    <row r="38" spans="2:8" ht="34" thickTop="1" thickBot="1" x14ac:dyDescent="0.25">
      <c r="B38" s="1199" t="s">
        <v>1348</v>
      </c>
      <c r="C38" s="1200" t="s">
        <v>1347</v>
      </c>
      <c r="D38" s="1200" t="s">
        <v>1349</v>
      </c>
      <c r="E38" s="1201" t="s">
        <v>1350</v>
      </c>
      <c r="F38" s="1200" t="s">
        <v>1351</v>
      </c>
      <c r="G38" s="1200" t="s">
        <v>1352</v>
      </c>
      <c r="H38" s="1202" t="s">
        <v>1353</v>
      </c>
    </row>
    <row r="39" spans="2:8" ht="17" thickTop="1" x14ac:dyDescent="0.2">
      <c r="B39" s="2529">
        <v>5</v>
      </c>
      <c r="C39" s="2526" t="e">
        <f ca="1">'FE Assumptions'!$H$68</f>
        <v>#NAME?</v>
      </c>
      <c r="D39" s="2526" t="e">
        <f ca="1">C39</f>
        <v>#NAME?</v>
      </c>
      <c r="E39" s="2527">
        <v>7</v>
      </c>
      <c r="F39" s="2528">
        <v>0.1429</v>
      </c>
      <c r="G39" s="2526" t="e">
        <f ca="1">F39*D39</f>
        <v>#NAME?</v>
      </c>
      <c r="H39" s="1210" t="e">
        <f ca="1">D39-G39</f>
        <v>#NAME?</v>
      </c>
    </row>
    <row r="40" spans="2:8" x14ac:dyDescent="0.2">
      <c r="B40" s="832"/>
      <c r="D40" s="1214"/>
      <c r="F40" s="1154"/>
      <c r="H40" s="1214"/>
    </row>
  </sheetData>
  <mergeCells count="1">
    <mergeCell ref="J2:K2"/>
  </mergeCells>
  <phoneticPr fontId="59" type="noConversion"/>
  <hyperlinks>
    <hyperlink ref="A1"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R34"/>
  <sheetViews>
    <sheetView showGridLines="0" topLeftCell="A23" workbookViewId="0">
      <pane xSplit="2" topLeftCell="G1" activePane="topRight" state="frozen"/>
      <selection activeCell="J21" sqref="J21"/>
      <selection pane="topRight" activeCell="I29" sqref="I29"/>
    </sheetView>
  </sheetViews>
  <sheetFormatPr baseColWidth="10" defaultColWidth="8.83203125" defaultRowHeight="16" x14ac:dyDescent="0.2"/>
  <cols>
    <col min="1" max="1" width="8.83203125" style="745"/>
    <col min="2" max="2" width="23.83203125" style="745" customWidth="1"/>
    <col min="3" max="3" width="15.5" style="745" customWidth="1"/>
    <col min="4" max="4" width="13.6640625" style="745" customWidth="1"/>
    <col min="5" max="5" width="18.1640625" style="745" customWidth="1"/>
    <col min="6" max="6" width="18.1640625" style="745" bestFit="1" customWidth="1"/>
    <col min="7" max="7" width="18.33203125" style="745" customWidth="1"/>
    <col min="8" max="8" width="17.1640625" style="745" bestFit="1" customWidth="1"/>
    <col min="9" max="10" width="17.1640625" style="745" customWidth="1"/>
    <col min="11" max="11" width="13.6640625" style="832" customWidth="1"/>
    <col min="12" max="12" width="12" style="745" bestFit="1" customWidth="1"/>
    <col min="13" max="13" width="17.83203125" style="745" customWidth="1"/>
    <col min="14" max="14" width="12" style="745" customWidth="1"/>
    <col min="15" max="16" width="13.6640625" style="745" customWidth="1"/>
    <col min="17" max="17" width="14.6640625" style="745" bestFit="1" customWidth="1"/>
    <col min="18" max="18" width="13.6640625" style="745" customWidth="1"/>
    <col min="19" max="16384" width="8.83203125" style="745"/>
  </cols>
  <sheetData>
    <row r="1" spans="1:18" x14ac:dyDescent="0.2">
      <c r="A1" s="1771" t="s">
        <v>38</v>
      </c>
    </row>
    <row r="2" spans="1:18" x14ac:dyDescent="0.2">
      <c r="B2" s="148" t="s">
        <v>1356</v>
      </c>
      <c r="C2" s="1228"/>
      <c r="D2" s="1228"/>
      <c r="E2" s="1228"/>
      <c r="F2" s="1228"/>
      <c r="G2" s="1228"/>
      <c r="H2" s="1228"/>
      <c r="I2" s="1228"/>
      <c r="J2" s="1228"/>
      <c r="K2" s="1234"/>
      <c r="L2" s="1228"/>
      <c r="M2" s="1228"/>
      <c r="N2" s="1228"/>
      <c r="O2" s="1228"/>
      <c r="P2" s="1228"/>
      <c r="Q2" s="1228"/>
      <c r="R2" s="1229"/>
    </row>
    <row r="3" spans="1:18" x14ac:dyDescent="0.2">
      <c r="B3" s="1231" t="s">
        <v>1357</v>
      </c>
      <c r="C3" s="1232" t="s">
        <v>1358</v>
      </c>
      <c r="D3" s="1232" t="s">
        <v>1359</v>
      </c>
      <c r="E3" s="1232" t="s">
        <v>1360</v>
      </c>
      <c r="F3" s="1232" t="s">
        <v>1361</v>
      </c>
      <c r="G3" s="1232" t="s">
        <v>829</v>
      </c>
      <c r="H3" s="1232" t="s">
        <v>1226</v>
      </c>
      <c r="I3" s="1232" t="s">
        <v>1234</v>
      </c>
      <c r="J3" s="1232" t="s">
        <v>1362</v>
      </c>
      <c r="K3" s="1232" t="s">
        <v>1363</v>
      </c>
      <c r="L3" s="1232" t="s">
        <v>1364</v>
      </c>
      <c r="M3" s="1232" t="s">
        <v>1365</v>
      </c>
      <c r="N3" s="1232" t="s">
        <v>1366</v>
      </c>
      <c r="O3" s="1232" t="s">
        <v>1367</v>
      </c>
      <c r="P3" s="1232" t="s">
        <v>1368</v>
      </c>
      <c r="Q3" s="1232" t="s">
        <v>1369</v>
      </c>
      <c r="R3" s="1233" t="s">
        <v>1370</v>
      </c>
    </row>
    <row r="4" spans="1:18" x14ac:dyDescent="0.2">
      <c r="B4" s="1216" t="s">
        <v>1371</v>
      </c>
      <c r="C4" s="2543" t="s">
        <v>1372</v>
      </c>
      <c r="D4" s="2544">
        <v>69.489999999999995</v>
      </c>
      <c r="E4" s="2549">
        <v>29960000000</v>
      </c>
      <c r="F4" s="2549">
        <v>27460000000</v>
      </c>
      <c r="G4" s="2549">
        <v>11902314000</v>
      </c>
      <c r="H4" s="2552">
        <v>1870000000</v>
      </c>
      <c r="I4" s="2552">
        <v>1074106000</v>
      </c>
      <c r="J4" s="2554">
        <f>F4/I4</f>
        <v>25.565446985679252</v>
      </c>
      <c r="K4" s="2543">
        <v>15.99</v>
      </c>
      <c r="L4" s="2554">
        <f>E4/G4</f>
        <v>2.5171575880118775</v>
      </c>
      <c r="M4" s="2552">
        <v>1197678000</v>
      </c>
      <c r="N4" s="2558">
        <f>M4/G4</f>
        <v>0.10062564304722595</v>
      </c>
      <c r="O4" s="2552">
        <v>664664000</v>
      </c>
      <c r="P4" s="2558">
        <f>O4/G4</f>
        <v>5.5843258714229856E-2</v>
      </c>
      <c r="Q4" s="2552">
        <v>1227100000</v>
      </c>
      <c r="R4" s="1230">
        <f>Q4/G4</f>
        <v>0.10309759934076684</v>
      </c>
    </row>
    <row r="5" spans="1:18" x14ac:dyDescent="0.2">
      <c r="B5" s="1204" t="s">
        <v>1373</v>
      </c>
      <c r="C5" s="2506" t="s">
        <v>1167</v>
      </c>
      <c r="D5" s="2545" t="s">
        <v>1167</v>
      </c>
      <c r="E5" s="2550">
        <v>412500000</v>
      </c>
      <c r="F5" s="2550" t="s">
        <v>1167</v>
      </c>
      <c r="G5" s="2550">
        <v>122214000</v>
      </c>
      <c r="H5" s="2550">
        <v>21334000</v>
      </c>
      <c r="I5" s="2550">
        <v>11940000</v>
      </c>
      <c r="J5" s="2555" t="s">
        <v>1167</v>
      </c>
      <c r="K5" s="2557">
        <f>E5/H5</f>
        <v>19.335333270835285</v>
      </c>
      <c r="L5" s="2555">
        <f t="shared" ref="L5" si="0">E5/G5</f>
        <v>3.3752270607295398</v>
      </c>
      <c r="M5" s="2550">
        <v>21294000</v>
      </c>
      <c r="N5" s="2559">
        <f>M5/G5</f>
        <v>0.17423535765133291</v>
      </c>
      <c r="O5" s="2512">
        <v>9424000</v>
      </c>
      <c r="P5" s="2559">
        <f>O5/G5</f>
        <v>7.711064198864287E-2</v>
      </c>
      <c r="Q5" s="2512">
        <v>4928000</v>
      </c>
      <c r="R5" s="1219">
        <f>Q5/G5</f>
        <v>4.0322712618848906E-2</v>
      </c>
    </row>
    <row r="6" spans="1:18" x14ac:dyDescent="0.2">
      <c r="B6" s="1209" t="s">
        <v>1374</v>
      </c>
      <c r="C6" s="2507" t="s">
        <v>1375</v>
      </c>
      <c r="D6" s="2546">
        <v>18.43</v>
      </c>
      <c r="E6" s="2518">
        <v>1810000000</v>
      </c>
      <c r="F6" s="2518">
        <v>814570000</v>
      </c>
      <c r="G6" s="2518">
        <v>2546892000</v>
      </c>
      <c r="H6" s="2518">
        <v>280080000</v>
      </c>
      <c r="I6" s="2518">
        <v>-274454000</v>
      </c>
      <c r="J6" s="2556">
        <f t="shared" ref="J6" si="1">F6/I6</f>
        <v>-2.967965487841314</v>
      </c>
      <c r="K6" s="2507">
        <v>6.47</v>
      </c>
      <c r="L6" s="2556">
        <f>E6/G6</f>
        <v>0.71067010301182776</v>
      </c>
      <c r="M6" s="2518">
        <v>476373000</v>
      </c>
      <c r="N6" s="2560">
        <f>M6/G6</f>
        <v>0.18704091103980852</v>
      </c>
      <c r="O6" s="2518">
        <v>314389000</v>
      </c>
      <c r="P6" s="2560">
        <f>O6/G6</f>
        <v>0.12344025580982625</v>
      </c>
      <c r="Q6" s="2518">
        <v>45075000</v>
      </c>
      <c r="R6" s="1220">
        <f>Q6/G6</f>
        <v>1.7698041377490682E-2</v>
      </c>
    </row>
    <row r="7" spans="1:18" x14ac:dyDescent="0.2">
      <c r="B7" s="1221"/>
      <c r="C7" s="1221"/>
      <c r="D7" s="1623"/>
      <c r="E7" s="1223"/>
      <c r="F7" s="1223"/>
      <c r="G7" s="1223"/>
      <c r="H7" s="1224"/>
      <c r="I7" s="1224"/>
      <c r="J7" s="1222"/>
      <c r="K7" s="1221"/>
      <c r="L7" s="1226"/>
      <c r="M7" s="1224"/>
      <c r="N7" s="1227"/>
      <c r="O7" s="1225"/>
      <c r="P7" s="1227"/>
      <c r="Q7" s="1225"/>
      <c r="R7" s="1227"/>
    </row>
    <row r="8" spans="1:18" x14ac:dyDescent="0.2">
      <c r="B8" s="1115" t="s">
        <v>1376</v>
      </c>
      <c r="C8" s="2543" t="s">
        <v>1167</v>
      </c>
      <c r="D8" s="2548">
        <f t="shared" ref="D8:M8" si="2">AVERAGE(D4:D6)</f>
        <v>43.959999999999994</v>
      </c>
      <c r="E8" s="2551">
        <f t="shared" si="2"/>
        <v>10727500000</v>
      </c>
      <c r="F8" s="2551">
        <f t="shared" si="2"/>
        <v>14137285000</v>
      </c>
      <c r="G8" s="2551">
        <f t="shared" si="2"/>
        <v>4857140000</v>
      </c>
      <c r="H8" s="2553">
        <f t="shared" si="2"/>
        <v>723804666.66666663</v>
      </c>
      <c r="I8" s="2553">
        <f t="shared" si="2"/>
        <v>270530666.66666669</v>
      </c>
      <c r="J8" s="2554">
        <f t="shared" si="2"/>
        <v>11.298740748918968</v>
      </c>
      <c r="K8" s="2554">
        <f t="shared" si="2"/>
        <v>13.931777756945095</v>
      </c>
      <c r="L8" s="2554">
        <f t="shared" si="2"/>
        <v>2.2010182505844154</v>
      </c>
      <c r="M8" s="2553">
        <f t="shared" si="2"/>
        <v>565115000</v>
      </c>
      <c r="N8" s="2558">
        <f>AVERAGE(N4,N5)</f>
        <v>0.13743050034927942</v>
      </c>
      <c r="O8" s="2553">
        <f>AVERAGE(O4:O6)</f>
        <v>329492333.33333331</v>
      </c>
      <c r="P8" s="2558">
        <f>AVERAGE(P4,P5)</f>
        <v>6.6476950351436359E-2</v>
      </c>
      <c r="Q8" s="2553">
        <f>AVERAGE(Q4:Q6)</f>
        <v>425701000</v>
      </c>
      <c r="R8" s="1230">
        <f>AVERAGE(R4,R5)</f>
        <v>7.1710155979807871E-2</v>
      </c>
    </row>
    <row r="9" spans="1:18" x14ac:dyDescent="0.2">
      <c r="B9" s="1198" t="s">
        <v>1377</v>
      </c>
      <c r="C9" s="2506" t="s">
        <v>1167</v>
      </c>
      <c r="D9" s="2545" t="s">
        <v>1167</v>
      </c>
      <c r="E9" s="2506" t="s">
        <v>1167</v>
      </c>
      <c r="F9" s="2506" t="s">
        <v>1167</v>
      </c>
      <c r="G9" s="2506" t="s">
        <v>1167</v>
      </c>
      <c r="H9" s="2506" t="s">
        <v>1167</v>
      </c>
      <c r="I9" s="2506" t="s">
        <v>1167</v>
      </c>
      <c r="J9" s="2506" t="s">
        <v>1167</v>
      </c>
      <c r="K9" s="2555">
        <f>0.75*K5+0.25*K4</f>
        <v>18.498999953126464</v>
      </c>
      <c r="L9" s="2555">
        <f>0.75*L5+0.25*L4</f>
        <v>3.1607096925501246</v>
      </c>
      <c r="M9" s="2506" t="s">
        <v>1167</v>
      </c>
      <c r="N9" s="2559">
        <f>0.25*N4+0.75*N5</f>
        <v>0.15583292900030618</v>
      </c>
      <c r="O9" s="2506" t="s">
        <v>1167</v>
      </c>
      <c r="P9" s="2559">
        <f>0.25*P4+0.75*P5</f>
        <v>7.1793796170039614E-2</v>
      </c>
      <c r="Q9" s="2506" t="s">
        <v>1167</v>
      </c>
      <c r="R9" s="1219">
        <f>0.25*R4+0.75*R5</f>
        <v>5.6016434299328392E-2</v>
      </c>
    </row>
    <row r="10" spans="1:18" x14ac:dyDescent="0.2">
      <c r="B10" s="855" t="s">
        <v>1378</v>
      </c>
      <c r="C10" s="2507" t="s">
        <v>1167</v>
      </c>
      <c r="D10" s="2547">
        <f>MEDIAN(D4:D6)</f>
        <v>43.959999999999994</v>
      </c>
      <c r="E10" s="2518">
        <f>MEDIAN(E4:E6)</f>
        <v>1810000000</v>
      </c>
      <c r="F10" s="2518">
        <f t="shared" ref="F10:R10" si="3">MEDIAN(F4:F6)</f>
        <v>14137285000</v>
      </c>
      <c r="G10" s="2518">
        <f t="shared" si="3"/>
        <v>2546892000</v>
      </c>
      <c r="H10" s="2518">
        <f t="shared" si="3"/>
        <v>280080000</v>
      </c>
      <c r="I10" s="2518">
        <f>MEDIAN(I4:I6)</f>
        <v>11940000</v>
      </c>
      <c r="J10" s="2556">
        <f t="shared" si="3"/>
        <v>11.29874074891897</v>
      </c>
      <c r="K10" s="2556">
        <f t="shared" si="3"/>
        <v>15.99</v>
      </c>
      <c r="L10" s="2556">
        <f t="shared" si="3"/>
        <v>2.5171575880118775</v>
      </c>
      <c r="M10" s="2518">
        <f t="shared" si="3"/>
        <v>476373000</v>
      </c>
      <c r="N10" s="2560">
        <f t="shared" si="3"/>
        <v>0.17423535765133291</v>
      </c>
      <c r="O10" s="2518">
        <f t="shared" si="3"/>
        <v>314389000</v>
      </c>
      <c r="P10" s="2560">
        <f t="shared" si="3"/>
        <v>7.711064198864287E-2</v>
      </c>
      <c r="Q10" s="2518">
        <f t="shared" si="3"/>
        <v>45075000</v>
      </c>
      <c r="R10" s="1220">
        <f t="shared" si="3"/>
        <v>4.0322712618848906E-2</v>
      </c>
    </row>
    <row r="11" spans="1:18" x14ac:dyDescent="0.2">
      <c r="J11" s="1215"/>
    </row>
    <row r="13" spans="1:18" x14ac:dyDescent="0.2">
      <c r="A13"/>
      <c r="B13"/>
      <c r="C13"/>
    </row>
    <row r="14" spans="1:18" x14ac:dyDescent="0.2">
      <c r="A14"/>
      <c r="B14"/>
      <c r="C14"/>
    </row>
    <row r="15" spans="1:18" x14ac:dyDescent="0.2">
      <c r="A15"/>
      <c r="B15"/>
      <c r="C15"/>
    </row>
    <row r="16" spans="1:18" x14ac:dyDescent="0.2">
      <c r="A16"/>
      <c r="B16"/>
      <c r="C16"/>
    </row>
    <row r="17" spans="1:3" x14ac:dyDescent="0.2">
      <c r="A17"/>
      <c r="B17"/>
      <c r="C17"/>
    </row>
    <row r="18" spans="1:3" x14ac:dyDescent="0.2">
      <c r="A18"/>
      <c r="B18"/>
      <c r="C18"/>
    </row>
    <row r="19" spans="1:3" x14ac:dyDescent="0.2">
      <c r="A19"/>
      <c r="B19"/>
      <c r="C19"/>
    </row>
    <row r="20" spans="1:3" x14ac:dyDescent="0.2">
      <c r="A20"/>
      <c r="B20"/>
      <c r="C20"/>
    </row>
    <row r="21" spans="1:3" x14ac:dyDescent="0.2">
      <c r="A21"/>
      <c r="B21"/>
      <c r="C21"/>
    </row>
    <row r="22" spans="1:3" x14ac:dyDescent="0.2">
      <c r="A22"/>
      <c r="B22"/>
      <c r="C22"/>
    </row>
    <row r="23" spans="1:3" x14ac:dyDescent="0.2">
      <c r="A23"/>
      <c r="B23"/>
      <c r="C23"/>
    </row>
    <row r="24" spans="1:3" x14ac:dyDescent="0.2">
      <c r="A24"/>
      <c r="B24"/>
      <c r="C24"/>
    </row>
    <row r="25" spans="1:3" x14ac:dyDescent="0.2">
      <c r="A25"/>
      <c r="B25"/>
      <c r="C25"/>
    </row>
    <row r="26" spans="1:3" x14ac:dyDescent="0.2">
      <c r="A26"/>
      <c r="B26"/>
      <c r="C26"/>
    </row>
    <row r="27" spans="1:3" x14ac:dyDescent="0.2">
      <c r="A27"/>
      <c r="B27"/>
      <c r="C27"/>
    </row>
    <row r="28" spans="1:3" x14ac:dyDescent="0.2">
      <c r="A28"/>
      <c r="B28"/>
      <c r="C28"/>
    </row>
    <row r="29" spans="1:3" x14ac:dyDescent="0.2">
      <c r="A29"/>
      <c r="B29"/>
      <c r="C29"/>
    </row>
    <row r="30" spans="1:3" x14ac:dyDescent="0.2">
      <c r="A30"/>
      <c r="B30"/>
      <c r="C30"/>
    </row>
    <row r="31" spans="1:3" x14ac:dyDescent="0.2">
      <c r="A31"/>
      <c r="B31"/>
      <c r="C31"/>
    </row>
    <row r="32" spans="1:3" x14ac:dyDescent="0.2">
      <c r="A32"/>
      <c r="B32"/>
      <c r="C32"/>
    </row>
    <row r="33" spans="1:3" x14ac:dyDescent="0.2">
      <c r="A33"/>
      <c r="B33"/>
      <c r="C33"/>
    </row>
    <row r="34" spans="1:3" x14ac:dyDescent="0.2">
      <c r="A34"/>
      <c r="B34"/>
      <c r="C34"/>
    </row>
  </sheetData>
  <phoneticPr fontId="59" type="noConversion"/>
  <hyperlinks>
    <hyperlink ref="A1"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Q35"/>
  <sheetViews>
    <sheetView workbookViewId="0">
      <selection sqref="A1:XFD26"/>
    </sheetView>
  </sheetViews>
  <sheetFormatPr baseColWidth="10" defaultColWidth="10.83203125" defaultRowHeight="16" x14ac:dyDescent="0.2"/>
  <cols>
    <col min="2" max="2" width="13.33203125" customWidth="1"/>
    <col min="3" max="3" width="16" customWidth="1"/>
    <col min="4" max="4" width="15.5" customWidth="1"/>
    <col min="5" max="6" width="10.83203125" customWidth="1"/>
    <col min="7" max="7" width="16" customWidth="1"/>
    <col min="8" max="8" width="15.33203125" customWidth="1"/>
    <col min="9" max="11" width="10.83203125" customWidth="1"/>
    <col min="12" max="12" width="12.83203125" bestFit="1" customWidth="1"/>
    <col min="14" max="17" width="10.83203125" customWidth="1"/>
  </cols>
  <sheetData>
    <row r="1" spans="1:17" x14ac:dyDescent="0.2">
      <c r="A1" s="1" t="s">
        <v>38</v>
      </c>
      <c r="B1" s="2603" t="s">
        <v>1476</v>
      </c>
      <c r="C1" s="2604">
        <v>1104115.3635860637</v>
      </c>
    </row>
    <row r="2" spans="1:17" x14ac:dyDescent="0.2">
      <c r="B2" s="2605" t="s">
        <v>1477</v>
      </c>
      <c r="C2" s="2606">
        <v>0.2571096720162116</v>
      </c>
    </row>
    <row r="3" spans="1:17" ht="17" thickBot="1" x14ac:dyDescent="0.25">
      <c r="B3" s="2753"/>
      <c r="C3" s="2754"/>
    </row>
    <row r="4" spans="1:17" ht="81" thickBot="1" x14ac:dyDescent="0.25">
      <c r="B4" s="2607"/>
      <c r="C4" s="2608"/>
      <c r="D4" s="2566" t="s">
        <v>1448</v>
      </c>
      <c r="E4" s="2582" t="s">
        <v>1449</v>
      </c>
      <c r="F4" s="2582" t="s">
        <v>1450</v>
      </c>
      <c r="G4" s="2582" t="s">
        <v>1451</v>
      </c>
      <c r="H4" s="2582" t="s">
        <v>1452</v>
      </c>
      <c r="I4" s="2567" t="s">
        <v>1453</v>
      </c>
      <c r="J4" s="2583" t="s">
        <v>1454</v>
      </c>
      <c r="K4" s="2583" t="s">
        <v>1455</v>
      </c>
      <c r="L4" s="2583" t="s">
        <v>1456</v>
      </c>
      <c r="M4" s="2595" t="s">
        <v>1457</v>
      </c>
      <c r="N4" s="2583" t="s">
        <v>1458</v>
      </c>
      <c r="O4" s="2583" t="s">
        <v>1459</v>
      </c>
      <c r="P4" s="2583" t="s">
        <v>1460</v>
      </c>
      <c r="Q4" s="2595" t="s">
        <v>1461</v>
      </c>
    </row>
    <row r="5" spans="1:17" x14ac:dyDescent="0.2">
      <c r="B5" s="2584" t="s">
        <v>25</v>
      </c>
      <c r="C5" s="2586" t="s">
        <v>1134</v>
      </c>
      <c r="D5" s="2575">
        <v>0.1416</v>
      </c>
      <c r="E5" s="2575">
        <v>0.15801599999999999</v>
      </c>
      <c r="F5" s="2575">
        <v>0.15880993137578781</v>
      </c>
      <c r="G5" s="2575">
        <v>0.21650996483361168</v>
      </c>
      <c r="H5" s="2575">
        <v>0.22203084741921167</v>
      </c>
      <c r="I5" s="2585"/>
      <c r="J5" s="147"/>
      <c r="K5" s="147"/>
      <c r="L5" s="147"/>
      <c r="M5" s="2585"/>
      <c r="N5" s="797"/>
      <c r="O5" s="147"/>
      <c r="P5" s="147"/>
      <c r="Q5" s="2585"/>
    </row>
    <row r="6" spans="1:17" x14ac:dyDescent="0.2">
      <c r="B6" s="2572"/>
      <c r="C6" s="2587" t="s">
        <v>1462</v>
      </c>
      <c r="D6" s="2575">
        <v>0.11476582207160868</v>
      </c>
      <c r="E6" s="2575">
        <v>0.12807087669821549</v>
      </c>
      <c r="F6" s="2575">
        <v>0.15145518134805794</v>
      </c>
      <c r="G6" s="2575">
        <v>0.19822065997338623</v>
      </c>
      <c r="H6" s="2575">
        <v>0.20269529718028742</v>
      </c>
      <c r="I6" s="2590">
        <f>81.049309372605%-1</f>
        <v>-0.18950690627395006</v>
      </c>
      <c r="J6" s="2576">
        <v>1104115.3635860637</v>
      </c>
      <c r="K6" s="2576">
        <v>1183261.069264289</v>
      </c>
      <c r="L6" s="687">
        <f>K6-J6</f>
        <v>79145.705678225262</v>
      </c>
      <c r="M6" s="2596">
        <f>L6/J6</f>
        <v>7.1682460264992046E-2</v>
      </c>
      <c r="N6" s="147"/>
      <c r="O6" s="147"/>
      <c r="P6" s="147"/>
      <c r="Q6" s="2585"/>
    </row>
    <row r="7" spans="1:17" x14ac:dyDescent="0.2">
      <c r="B7" s="2572"/>
      <c r="C7" s="2588" t="s">
        <v>1463</v>
      </c>
      <c r="D7" s="2575">
        <v>9.5559207247304684E-2</v>
      </c>
      <c r="E7" s="2575">
        <v>0.10663759669767017</v>
      </c>
      <c r="F7" s="2575">
        <v>0.14619100477113403</v>
      </c>
      <c r="G7" s="2575">
        <v>0.18513005459721177</v>
      </c>
      <c r="H7" s="2575">
        <v>0.18885583964795599</v>
      </c>
      <c r="I7" s="2591">
        <f>67.4853158526163%-1</f>
        <v>-0.32514684147383699</v>
      </c>
      <c r="J7" s="2576"/>
      <c r="K7" s="2576"/>
      <c r="L7" s="687"/>
      <c r="M7" s="2585"/>
      <c r="N7" s="2577">
        <v>0.2571096720162116</v>
      </c>
      <c r="O7" s="2577">
        <v>0.26567311076150957</v>
      </c>
      <c r="P7" s="2577">
        <f>O7-N7</f>
        <v>8.5634387452979688E-3</v>
      </c>
      <c r="Q7" s="2599">
        <f>P7/N7</f>
        <v>3.3306560107773837E-2</v>
      </c>
    </row>
    <row r="8" spans="1:17" x14ac:dyDescent="0.2">
      <c r="B8" s="2585" t="s">
        <v>1464</v>
      </c>
      <c r="C8" s="2572" t="s">
        <v>1134</v>
      </c>
      <c r="D8" s="2576">
        <v>2266589.9544644067</v>
      </c>
      <c r="E8" s="2576">
        <v>2800189.1982833659</v>
      </c>
      <c r="F8" s="2576">
        <v>2599277.6760975285</v>
      </c>
      <c r="G8" s="2576">
        <v>3538948.3623169963</v>
      </c>
      <c r="H8" s="2576">
        <v>3807612.9709798889</v>
      </c>
      <c r="I8" s="2585"/>
      <c r="J8" s="2576"/>
      <c r="K8" s="2576"/>
      <c r="L8" s="687"/>
      <c r="M8" s="2585"/>
      <c r="N8" s="2577"/>
      <c r="O8" s="2577"/>
      <c r="P8" s="2577"/>
      <c r="Q8" s="2600"/>
    </row>
    <row r="9" spans="1:17" ht="14" customHeight="1" x14ac:dyDescent="0.2">
      <c r="B9" s="2572"/>
      <c r="C9" s="2572" t="s">
        <v>1134</v>
      </c>
      <c r="D9" s="2576">
        <v>2557363.5893566851</v>
      </c>
      <c r="E9" s="2576">
        <v>3160846.7406226206</v>
      </c>
      <c r="F9" s="2576">
        <v>2928206.4863039292</v>
      </c>
      <c r="G9" s="2576">
        <v>3985096.9721292765</v>
      </c>
      <c r="H9" s="2576">
        <v>4289055.8636425594</v>
      </c>
      <c r="I9" s="2592">
        <f>113.352452364062%-1</f>
        <v>0.13352452364061995</v>
      </c>
      <c r="J9" s="2576">
        <v>1104115.3635860637</v>
      </c>
      <c r="K9" s="2576">
        <v>1021617.2474181957</v>
      </c>
      <c r="L9" s="687">
        <f>K9-J9</f>
        <v>-82498.116167868022</v>
      </c>
      <c r="M9" s="2596">
        <f>L9/J9</f>
        <v>-7.471874668958671E-2</v>
      </c>
      <c r="N9" s="2577"/>
      <c r="O9" s="2577"/>
      <c r="P9" s="2577"/>
      <c r="Q9" s="2600"/>
    </row>
    <row r="10" spans="1:17" x14ac:dyDescent="0.2">
      <c r="B10" s="2572"/>
      <c r="C10" s="2572" t="s">
        <v>1134</v>
      </c>
      <c r="D10" s="2576">
        <v>2812040.2543385061</v>
      </c>
      <c r="E10" s="2576">
        <v>3476731.8452591836</v>
      </c>
      <c r="F10" s="2576">
        <v>3216301.6997191315</v>
      </c>
      <c r="G10" s="2576">
        <v>4375860.1858414188</v>
      </c>
      <c r="H10" s="2576">
        <v>4710731.8877702402</v>
      </c>
      <c r="I10" s="2593">
        <f>125.047316097728%-1</f>
        <v>0.2504731609772799</v>
      </c>
      <c r="J10" s="2576"/>
      <c r="K10" s="2576"/>
      <c r="L10" s="687"/>
      <c r="M10" s="2585"/>
      <c r="N10" s="2577">
        <v>0.2571096720162116</v>
      </c>
      <c r="O10" s="2577">
        <v>0.24743231019108092</v>
      </c>
      <c r="P10" s="2577">
        <f>O10-N10</f>
        <v>-9.6773618251306814E-3</v>
      </c>
      <c r="Q10" s="2599">
        <f>P10/N10</f>
        <v>-3.7639042317009735E-2</v>
      </c>
    </row>
    <row r="11" spans="1:17" x14ac:dyDescent="0.2">
      <c r="B11" s="2585" t="s">
        <v>1465</v>
      </c>
      <c r="C11" s="2572" t="s">
        <v>1134</v>
      </c>
      <c r="D11" s="2578">
        <v>26.146861735888614</v>
      </c>
      <c r="E11" s="2578">
        <v>26.146861735888614</v>
      </c>
      <c r="F11" s="2578">
        <v>26.146861735888614</v>
      </c>
      <c r="G11" s="2578">
        <v>26.146861735888614</v>
      </c>
      <c r="H11" s="2578">
        <v>26.146861735888614</v>
      </c>
      <c r="I11" s="2585"/>
      <c r="J11" s="2576"/>
      <c r="K11" s="2576"/>
      <c r="L11" s="687"/>
      <c r="M11" s="2585"/>
      <c r="N11" s="2577"/>
      <c r="O11" s="2577"/>
      <c r="P11" s="2577"/>
      <c r="Q11" s="2600"/>
    </row>
    <row r="12" spans="1:17" ht="17" customHeight="1" x14ac:dyDescent="0.2">
      <c r="B12" s="2572"/>
      <c r="C12" s="2572" t="s">
        <v>1134</v>
      </c>
      <c r="D12" s="2578">
        <v>28.897852623418689</v>
      </c>
      <c r="E12" s="2578">
        <v>28.897852623418689</v>
      </c>
      <c r="F12" s="2578">
        <v>28.897852623418689</v>
      </c>
      <c r="G12" s="2578">
        <v>28.897852623418689</v>
      </c>
      <c r="H12" s="2578">
        <v>28.897852623418689</v>
      </c>
      <c r="I12" s="2592">
        <f>110.51895380255%-1</f>
        <v>0.10518953802549991</v>
      </c>
      <c r="J12" s="2576">
        <v>1104115.3635860637</v>
      </c>
      <c r="K12" s="2576">
        <v>999260.14099111361</v>
      </c>
      <c r="L12" s="687">
        <f>K12-J12</f>
        <v>-104855.22259495012</v>
      </c>
      <c r="M12" s="2596">
        <f>L12/J12</f>
        <v>-9.4967632960373027E-2</v>
      </c>
      <c r="N12" s="2577"/>
      <c r="O12" s="2577"/>
      <c r="P12" s="2577"/>
      <c r="Q12" s="2600"/>
    </row>
    <row r="13" spans="1:17" x14ac:dyDescent="0.2">
      <c r="B13" s="2572"/>
      <c r="C13" s="2572" t="s">
        <v>1134</v>
      </c>
      <c r="D13" s="2578">
        <v>31.038993567124976</v>
      </c>
      <c r="E13" s="2578">
        <v>31.038993567124976</v>
      </c>
      <c r="F13" s="2578">
        <v>31.038993567124976</v>
      </c>
      <c r="G13" s="2578">
        <v>31.038993567124976</v>
      </c>
      <c r="H13" s="2578">
        <v>31.038993567124976</v>
      </c>
      <c r="I13" s="2593">
        <f>118.707681876084%-1</f>
        <v>0.18707681876084004</v>
      </c>
      <c r="J13" s="2576"/>
      <c r="K13" s="2576"/>
      <c r="L13" s="687"/>
      <c r="M13" s="2585"/>
      <c r="N13" s="2577">
        <v>0.2571096720162116</v>
      </c>
      <c r="O13" s="2577">
        <v>0.24544622077184108</v>
      </c>
      <c r="P13" s="2577">
        <f>O13-N13</f>
        <v>-1.1663451244370515E-2</v>
      </c>
      <c r="Q13" s="2599">
        <f>P13/N13</f>
        <v>-4.5363720286785231E-2</v>
      </c>
    </row>
    <row r="14" spans="1:17" x14ac:dyDescent="0.2">
      <c r="B14" s="2585" t="s">
        <v>1466</v>
      </c>
      <c r="C14" s="2572" t="s">
        <v>1134</v>
      </c>
      <c r="D14" s="2578">
        <v>8.7401078506898244</v>
      </c>
      <c r="E14" s="2578">
        <v>8.7572868778042405</v>
      </c>
      <c r="F14" s="2578">
        <v>8.4243896819007347</v>
      </c>
      <c r="G14" s="2578">
        <v>7.9005058739507197</v>
      </c>
      <c r="H14" s="2578">
        <v>8.0896076999066739</v>
      </c>
      <c r="I14" s="2585"/>
      <c r="J14" s="2576"/>
      <c r="K14" s="2576"/>
      <c r="L14" s="687"/>
      <c r="M14" s="2585"/>
      <c r="N14" s="2577"/>
      <c r="O14" s="2577"/>
      <c r="P14" s="2577"/>
      <c r="Q14" s="2600"/>
    </row>
    <row r="15" spans="1:17" x14ac:dyDescent="0.2">
      <c r="B15" s="2572"/>
      <c r="C15" s="2572" t="s">
        <v>1134</v>
      </c>
      <c r="D15" s="2578">
        <v>11.637399635835543</v>
      </c>
      <c r="E15" s="2578">
        <v>11.660273404363416</v>
      </c>
      <c r="F15" s="2578">
        <v>11.217022843551129</v>
      </c>
      <c r="G15" s="2578">
        <v>10.519474788079885</v>
      </c>
      <c r="H15" s="2578">
        <v>10.771262701697218</v>
      </c>
      <c r="I15" s="2592">
        <f>133.149382532128%-1</f>
        <v>0.3314938253212798</v>
      </c>
      <c r="J15" s="2576">
        <v>1104115.3635860637</v>
      </c>
      <c r="K15" s="2576">
        <v>1070722.3833687841</v>
      </c>
      <c r="L15" s="687">
        <f>K15-J15</f>
        <v>-33392.980217279634</v>
      </c>
      <c r="M15" s="2596">
        <f>L15/J15</f>
        <v>-3.0244104301585251E-2</v>
      </c>
      <c r="N15" s="2577"/>
      <c r="O15" s="2577"/>
      <c r="P15" s="2577"/>
      <c r="Q15" s="2600"/>
    </row>
    <row r="16" spans="1:17" x14ac:dyDescent="0.2">
      <c r="B16" s="2572"/>
      <c r="C16" s="2572" t="s">
        <v>1134</v>
      </c>
      <c r="D16" s="2578">
        <v>13.92946217526255</v>
      </c>
      <c r="E16" s="2578">
        <v>13.956841083221812</v>
      </c>
      <c r="F16" s="2578">
        <v>13.426289403791122</v>
      </c>
      <c r="G16" s="2578">
        <v>12.591354662511437</v>
      </c>
      <c r="H16" s="2578">
        <v>12.892733864796527</v>
      </c>
      <c r="I16" s="2593">
        <f>159.374030769691%-1</f>
        <v>0.59374030769690989</v>
      </c>
      <c r="J16" s="2576"/>
      <c r="K16" s="2576"/>
      <c r="L16" s="687"/>
      <c r="M16" s="2597"/>
      <c r="N16" s="2577">
        <v>0.2571096720162116</v>
      </c>
      <c r="O16" s="2577">
        <v>0.25338296203797017</v>
      </c>
      <c r="P16" s="2577">
        <f>O16-N16</f>
        <v>-3.726709978241427E-3</v>
      </c>
      <c r="Q16" s="2599">
        <f>P16/N16</f>
        <v>-1.4494631606104829E-2</v>
      </c>
    </row>
    <row r="17" spans="2:17" x14ac:dyDescent="0.2">
      <c r="B17" s="2585" t="s">
        <v>1467</v>
      </c>
      <c r="C17" s="2572" t="s">
        <v>1134</v>
      </c>
      <c r="D17" s="2575">
        <v>8.9209999999999998E-2</v>
      </c>
      <c r="E17" s="2575">
        <v>8.9209999999999998E-2</v>
      </c>
      <c r="F17" s="2575">
        <v>0.1129</v>
      </c>
      <c r="G17" s="2575">
        <v>0.1129</v>
      </c>
      <c r="H17" s="2575">
        <v>0.1129</v>
      </c>
      <c r="I17" s="2585"/>
      <c r="J17" s="2576"/>
      <c r="K17" s="2576"/>
      <c r="L17" s="687"/>
      <c r="M17" s="2597"/>
      <c r="N17" s="2577"/>
      <c r="O17" s="2577"/>
      <c r="P17" s="2577"/>
      <c r="Q17" s="2600"/>
    </row>
    <row r="18" spans="2:17" x14ac:dyDescent="0.2">
      <c r="B18" s="2572"/>
      <c r="C18" s="2572" t="s">
        <v>1134</v>
      </c>
      <c r="D18" s="2575">
        <v>3.3007700000000001E-2</v>
      </c>
      <c r="E18" s="2575">
        <v>3.3007700000000001E-2</v>
      </c>
      <c r="F18" s="2575">
        <v>0.109</v>
      </c>
      <c r="G18" s="2575">
        <v>0.109</v>
      </c>
      <c r="H18" s="2575">
        <v>0.109</v>
      </c>
      <c r="I18" s="2590">
        <f>37%-1</f>
        <v>-0.63</v>
      </c>
      <c r="J18" s="2576">
        <v>1104115.3635860637</v>
      </c>
      <c r="K18" s="2576">
        <v>1129876</v>
      </c>
      <c r="L18" s="687">
        <f>K18-J18</f>
        <v>25760.63641393627</v>
      </c>
      <c r="M18" s="2596">
        <f>L18/J18</f>
        <v>2.3331471749716556E-2</v>
      </c>
      <c r="N18" s="2577"/>
      <c r="O18" s="2577"/>
      <c r="P18" s="2577"/>
      <c r="Q18" s="2600"/>
    </row>
    <row r="19" spans="2:17" x14ac:dyDescent="0.2">
      <c r="B19" s="2572"/>
      <c r="C19" s="2572" t="s">
        <v>1134</v>
      </c>
      <c r="D19" s="2575">
        <v>1.7842000000000001E-3</v>
      </c>
      <c r="E19" s="2575">
        <v>1.7842000000000001E-3</v>
      </c>
      <c r="F19" s="2575">
        <v>0.109</v>
      </c>
      <c r="G19" s="2575">
        <v>0.109</v>
      </c>
      <c r="H19" s="2575">
        <v>0.109</v>
      </c>
      <c r="I19" s="2591">
        <f>2%-1</f>
        <v>-0.98</v>
      </c>
      <c r="J19" s="2576"/>
      <c r="K19" s="2576"/>
      <c r="L19" s="687"/>
      <c r="M19" s="2597"/>
      <c r="N19" s="2577">
        <v>0.2571096720162116</v>
      </c>
      <c r="O19" s="2577">
        <v>0.25979999999999998</v>
      </c>
      <c r="P19" s="2577">
        <f>O19-N19</f>
        <v>2.6903279837883765E-3</v>
      </c>
      <c r="Q19" s="2601">
        <f>P19/N19</f>
        <v>1.0463736983098569E-2</v>
      </c>
    </row>
    <row r="20" spans="2:17" x14ac:dyDescent="0.2">
      <c r="B20" s="2585" t="s">
        <v>1468</v>
      </c>
      <c r="C20" s="2572" t="s">
        <v>1134</v>
      </c>
      <c r="D20" s="2576">
        <v>313613.32672000001</v>
      </c>
      <c r="E20" s="2576">
        <v>335751.59325440007</v>
      </c>
      <c r="F20" s="2576">
        <v>660812.68911948812</v>
      </c>
      <c r="G20" s="2576">
        <v>744325.78866187797</v>
      </c>
      <c r="H20" s="2576">
        <v>778974.16325111536</v>
      </c>
      <c r="I20" s="2585"/>
      <c r="J20" s="2576"/>
      <c r="K20" s="2576"/>
      <c r="L20" s="687"/>
      <c r="M20" s="2597"/>
      <c r="N20" s="2577"/>
      <c r="O20" s="2577"/>
      <c r="P20" s="2577"/>
      <c r="Q20" s="2600"/>
    </row>
    <row r="21" spans="2:17" x14ac:dyDescent="0.2">
      <c r="B21" s="2572"/>
      <c r="C21" s="2572" t="s">
        <v>1134</v>
      </c>
      <c r="D21" s="2576">
        <v>523504.52377988491</v>
      </c>
      <c r="E21" s="2576">
        <v>560459.2119004908</v>
      </c>
      <c r="F21" s="2576">
        <v>660812.68911948812</v>
      </c>
      <c r="G21" s="2576">
        <v>1242478.8244997566</v>
      </c>
      <c r="H21" s="2576">
        <v>1300316.2290156693</v>
      </c>
      <c r="I21" s="2592">
        <f>166.92674678563%-1</f>
        <v>0.66926746785629998</v>
      </c>
      <c r="J21" s="2576">
        <v>1104115.3635860637</v>
      </c>
      <c r="K21" s="2576">
        <v>1087587.8392017512</v>
      </c>
      <c r="L21" s="687">
        <f>K21-J21</f>
        <v>-16527.524384312565</v>
      </c>
      <c r="M21" s="2596">
        <f>L21/J21</f>
        <v>-1.4969019478755107E-2</v>
      </c>
      <c r="N21" s="2577"/>
      <c r="O21" s="2577"/>
      <c r="P21" s="2577"/>
      <c r="Q21" s="2600"/>
    </row>
    <row r="22" spans="2:17" x14ac:dyDescent="0.2">
      <c r="B22" s="2572"/>
      <c r="C22" s="2572" t="s">
        <v>1134</v>
      </c>
      <c r="D22" s="2576">
        <v>699004.54873087374</v>
      </c>
      <c r="E22" s="2576">
        <v>748347.95250267279</v>
      </c>
      <c r="F22" s="2576">
        <v>660812.68911948812</v>
      </c>
      <c r="G22" s="2576">
        <v>1659008.2999784956</v>
      </c>
      <c r="H22" s="2576">
        <v>1736235.1566854864</v>
      </c>
      <c r="I22" s="2593">
        <f>222.88738684723%-1</f>
        <v>1.2288738684723</v>
      </c>
      <c r="J22" s="147"/>
      <c r="K22" s="147"/>
      <c r="L22" s="687"/>
      <c r="M22" s="2585"/>
      <c r="N22" s="2577">
        <v>0.2571096720162116</v>
      </c>
      <c r="O22" s="2577">
        <v>0.25522623220591756</v>
      </c>
      <c r="P22" s="2577">
        <f>O22-N22</f>
        <v>-1.8834398102940408E-3</v>
      </c>
      <c r="Q22" s="2599">
        <f>P22/N22</f>
        <v>-7.325433522295823E-3</v>
      </c>
    </row>
    <row r="23" spans="2:17" x14ac:dyDescent="0.2">
      <c r="B23" s="2585" t="s">
        <v>1469</v>
      </c>
      <c r="C23" s="2572" t="s">
        <v>1134</v>
      </c>
      <c r="D23" s="2575">
        <v>0.23335</v>
      </c>
      <c r="E23" s="2575">
        <v>0.23335</v>
      </c>
      <c r="F23" s="2575">
        <v>0.28849999999999998</v>
      </c>
      <c r="G23" s="2575">
        <v>0.28849999999999998</v>
      </c>
      <c r="H23" s="2575">
        <v>0.28849999999999998</v>
      </c>
      <c r="I23" s="2585"/>
      <c r="J23" s="147"/>
      <c r="K23" s="147"/>
      <c r="L23" s="687"/>
      <c r="M23" s="2585"/>
      <c r="N23" s="147"/>
      <c r="O23" s="147"/>
      <c r="P23" s="147"/>
      <c r="Q23" s="2585"/>
    </row>
    <row r="24" spans="2:17" x14ac:dyDescent="0.2">
      <c r="B24" s="2572"/>
      <c r="C24" s="2587" t="s">
        <v>1462</v>
      </c>
      <c r="D24" s="2575">
        <v>0.19834750000000001</v>
      </c>
      <c r="E24" s="2575">
        <v>0.19834750000000001</v>
      </c>
      <c r="F24" s="2575">
        <v>0.28849999999999998</v>
      </c>
      <c r="G24" s="2575">
        <v>0.28849999999999998</v>
      </c>
      <c r="H24" s="2575">
        <v>0.28849999999999998</v>
      </c>
      <c r="I24" s="2590">
        <f>85%-1</f>
        <v>-0.15000000000000002</v>
      </c>
      <c r="J24" s="2576">
        <v>1104115.3635860637</v>
      </c>
      <c r="K24" s="2576">
        <v>1212218.6200000001</v>
      </c>
      <c r="L24" s="687">
        <f>K24-J24</f>
        <v>108103.25641393638</v>
      </c>
      <c r="M24" s="2596">
        <f>L24/J24</f>
        <v>9.7909385177674807E-2</v>
      </c>
      <c r="N24" s="147"/>
      <c r="O24" s="147"/>
      <c r="P24" s="147"/>
      <c r="Q24" s="2585"/>
    </row>
    <row r="25" spans="2:17" ht="17" thickBot="1" x14ac:dyDescent="0.25">
      <c r="B25" s="2573"/>
      <c r="C25" s="2589" t="s">
        <v>1463</v>
      </c>
      <c r="D25" s="2579">
        <v>0.17967949999999999</v>
      </c>
      <c r="E25" s="2579">
        <v>0.17967949999999999</v>
      </c>
      <c r="F25" s="2579">
        <v>0.28849999999999998</v>
      </c>
      <c r="G25" s="2579">
        <v>0.28849999999999998</v>
      </c>
      <c r="H25" s="2579">
        <v>0.28849999999999998</v>
      </c>
      <c r="I25" s="2594">
        <f>77%-1</f>
        <v>-0.22999999999999998</v>
      </c>
      <c r="J25" s="2580"/>
      <c r="K25" s="2580"/>
      <c r="L25" s="2580"/>
      <c r="M25" s="2598"/>
      <c r="N25" s="2581">
        <v>0.2571096720162116</v>
      </c>
      <c r="O25" s="2581">
        <v>0.26829999999999998</v>
      </c>
      <c r="P25" s="2581">
        <f>O25-N25</f>
        <v>1.1190327983788384E-2</v>
      </c>
      <c r="Q25" s="2602">
        <f>P25/N25</f>
        <v>4.352355901680275E-2</v>
      </c>
    </row>
    <row r="27" spans="2:17" ht="20" thickBot="1" x14ac:dyDescent="0.3">
      <c r="B27" s="2574" t="s">
        <v>1475</v>
      </c>
    </row>
    <row r="28" spans="2:17" ht="17" thickBot="1" x14ac:dyDescent="0.25">
      <c r="B28" s="2566"/>
      <c r="C28" s="2567" t="s">
        <v>1470</v>
      </c>
      <c r="D28" s="2568" t="s">
        <v>1471</v>
      </c>
      <c r="F28" s="2566"/>
      <c r="G28" s="2567" t="s">
        <v>1473</v>
      </c>
      <c r="H28" s="2567" t="s">
        <v>1474</v>
      </c>
    </row>
    <row r="29" spans="2:17" x14ac:dyDescent="0.2">
      <c r="B29" s="2569" t="s">
        <v>1469</v>
      </c>
      <c r="C29" s="2734">
        <v>9.7909385177674807E-2</v>
      </c>
      <c r="D29" s="2735">
        <v>4.352355901680275E-2</v>
      </c>
      <c r="F29" s="2572" t="s">
        <v>1465</v>
      </c>
      <c r="G29" s="2740">
        <v>0.10518953802549991</v>
      </c>
      <c r="H29" s="2737">
        <v>0.18707681876084004</v>
      </c>
    </row>
    <row r="30" spans="2:17" x14ac:dyDescent="0.2">
      <c r="B30" s="2570" t="s">
        <v>1465</v>
      </c>
      <c r="C30" s="2736">
        <v>-9.4967632960373027E-2</v>
      </c>
      <c r="D30" s="2737">
        <v>-4.5363720286785231E-2</v>
      </c>
      <c r="F30" s="2572" t="s">
        <v>1464</v>
      </c>
      <c r="G30" s="2740">
        <v>0.13352452364061995</v>
      </c>
      <c r="H30" s="2737">
        <v>0.2504731609772799</v>
      </c>
    </row>
    <row r="31" spans="2:17" x14ac:dyDescent="0.2">
      <c r="B31" s="2570" t="s">
        <v>1464</v>
      </c>
      <c r="C31" s="2736">
        <v>-7.471874668958671E-2</v>
      </c>
      <c r="D31" s="2737">
        <v>-3.7639042317009735E-2</v>
      </c>
      <c r="F31" s="2572" t="s">
        <v>1469</v>
      </c>
      <c r="G31" s="2740">
        <v>-0.15000000000000002</v>
      </c>
      <c r="H31" s="2737">
        <v>-0.22999999999999998</v>
      </c>
    </row>
    <row r="32" spans="2:17" x14ac:dyDescent="0.2">
      <c r="B32" s="2570" t="s">
        <v>25</v>
      </c>
      <c r="C32" s="2736">
        <v>7.1682460264992046E-2</v>
      </c>
      <c r="D32" s="2737">
        <v>3.3306560107773837E-2</v>
      </c>
      <c r="F32" s="2572" t="s">
        <v>25</v>
      </c>
      <c r="G32" s="2740">
        <v>-0.18950690627395006</v>
      </c>
      <c r="H32" s="2737">
        <v>-0.32514684147383699</v>
      </c>
    </row>
    <row r="33" spans="2:8" x14ac:dyDescent="0.2">
      <c r="B33" s="2570" t="s">
        <v>1466</v>
      </c>
      <c r="C33" s="2736">
        <v>-3.0244104301585251E-2</v>
      </c>
      <c r="D33" s="2737">
        <v>-1.4494631606104829E-2</v>
      </c>
      <c r="F33" s="2572" t="s">
        <v>1466</v>
      </c>
      <c r="G33" s="2740">
        <v>0.3314938253212798</v>
      </c>
      <c r="H33" s="2737">
        <v>0.59374030769690989</v>
      </c>
    </row>
    <row r="34" spans="2:8" x14ac:dyDescent="0.2">
      <c r="B34" s="2570" t="s">
        <v>1467</v>
      </c>
      <c r="C34" s="2736">
        <v>2.3331471749716556E-2</v>
      </c>
      <c r="D34" s="2737">
        <v>1.0463736983098569E-2</v>
      </c>
      <c r="F34" s="2572" t="s">
        <v>1467</v>
      </c>
      <c r="G34" s="2740">
        <v>-0.63</v>
      </c>
      <c r="H34" s="2737">
        <v>-0.98</v>
      </c>
    </row>
    <row r="35" spans="2:8" ht="17" thickBot="1" x14ac:dyDescent="0.25">
      <c r="B35" s="2571" t="s">
        <v>1472</v>
      </c>
      <c r="C35" s="2738">
        <v>-1.4969019478755107E-2</v>
      </c>
      <c r="D35" s="2739">
        <v>-7.325433522295823E-3</v>
      </c>
      <c r="F35" s="2573" t="s">
        <v>1472</v>
      </c>
      <c r="G35" s="2741">
        <v>0.66926746785629998</v>
      </c>
      <c r="H35" s="2739">
        <v>1.2288738684723</v>
      </c>
    </row>
  </sheetData>
  <phoneticPr fontId="59" type="noConversion"/>
  <hyperlinks>
    <hyperlink ref="A1"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P45"/>
  <sheetViews>
    <sheetView showGridLines="0" workbookViewId="0">
      <pane ySplit="4" topLeftCell="A11" activePane="bottomLeft" state="frozen"/>
      <selection pane="bottomLeft" activeCell="C13" sqref="C13"/>
    </sheetView>
  </sheetViews>
  <sheetFormatPr baseColWidth="10" defaultColWidth="11" defaultRowHeight="16" x14ac:dyDescent="0.2"/>
  <cols>
    <col min="1" max="1" width="11" style="745"/>
    <col min="2" max="2" width="36.1640625" style="745" customWidth="1"/>
    <col min="3" max="3" width="14.6640625" style="745" bestFit="1" customWidth="1"/>
    <col min="4" max="4" width="15.83203125" style="745" customWidth="1"/>
    <col min="5" max="5" width="16" style="745" bestFit="1" customWidth="1"/>
    <col min="6" max="8" width="14.6640625" style="745" bestFit="1" customWidth="1"/>
    <col min="9" max="9" width="12.83203125" style="745" customWidth="1"/>
    <col min="10" max="10" width="14.83203125" style="745" customWidth="1"/>
    <col min="11" max="11" width="14" style="745" customWidth="1"/>
    <col min="12" max="12" width="11" style="745"/>
    <col min="13" max="13" width="19.1640625" style="745" customWidth="1"/>
    <col min="14" max="14" width="12.5" style="745" customWidth="1"/>
    <col min="15" max="15" width="12" style="745" bestFit="1" customWidth="1"/>
    <col min="16" max="16" width="11" style="745"/>
    <col min="17" max="17" width="24.1640625" style="745" bestFit="1" customWidth="1"/>
    <col min="18" max="18" width="12" style="745" bestFit="1" customWidth="1"/>
    <col min="19" max="16384" width="11" style="745"/>
  </cols>
  <sheetData>
    <row r="1" spans="1:16" x14ac:dyDescent="0.2">
      <c r="A1" s="1771" t="s">
        <v>38</v>
      </c>
    </row>
    <row r="2" spans="1:16" x14ac:dyDescent="0.2">
      <c r="B2" s="746" t="s">
        <v>1134</v>
      </c>
    </row>
    <row r="3" spans="1:16" x14ac:dyDescent="0.2">
      <c r="B3" s="746" t="s">
        <v>1279</v>
      </c>
    </row>
    <row r="4" spans="1:16" x14ac:dyDescent="0.2">
      <c r="B4" s="745" t="s">
        <v>1137</v>
      </c>
      <c r="C4" s="747" t="s">
        <v>1213</v>
      </c>
      <c r="D4" s="747" t="s">
        <v>71</v>
      </c>
      <c r="E4" s="747" t="s">
        <v>72</v>
      </c>
      <c r="F4" s="747" t="s">
        <v>73</v>
      </c>
      <c r="G4" s="747" t="s">
        <v>74</v>
      </c>
      <c r="H4" s="747" t="s">
        <v>75</v>
      </c>
      <c r="I4" s="747" t="s">
        <v>1280</v>
      </c>
      <c r="J4" s="747" t="s">
        <v>1281</v>
      </c>
      <c r="K4" s="747" t="s">
        <v>1282</v>
      </c>
      <c r="L4" s="747"/>
    </row>
    <row r="5" spans="1:16" x14ac:dyDescent="0.2">
      <c r="B5" s="2784" t="s">
        <v>1283</v>
      </c>
      <c r="C5" s="2785"/>
      <c r="D5" s="2785"/>
      <c r="E5" s="2785"/>
      <c r="F5" s="2785"/>
      <c r="G5" s="2785"/>
      <c r="H5" s="2785"/>
      <c r="I5" s="2785"/>
      <c r="J5" s="2785"/>
      <c r="K5" s="2786"/>
      <c r="M5" s="748" t="s">
        <v>1284</v>
      </c>
      <c r="N5" s="749">
        <v>1.6199999999999999E-2</v>
      </c>
    </row>
    <row r="6" spans="1:16" x14ac:dyDescent="0.2">
      <c r="B6" s="752" t="s">
        <v>1285</v>
      </c>
      <c r="C6" s="2536" t="s">
        <v>1167</v>
      </c>
      <c r="D6" s="2539" t="e">
        <f ca="1">-(D7-C7)/C7</f>
        <v>#NAME?</v>
      </c>
      <c r="E6" s="2539" t="e">
        <f ca="1">-(E7-D7)/D7</f>
        <v>#NAME?</v>
      </c>
      <c r="F6" s="2539" t="e">
        <f t="shared" ref="F6:H6" ca="1" si="0">(F7-E7)/E7</f>
        <v>#NAME?</v>
      </c>
      <c r="G6" s="2539" t="e">
        <f t="shared" ca="1" si="0"/>
        <v>#NAME?</v>
      </c>
      <c r="H6" s="2539" t="e">
        <f t="shared" ca="1" si="0"/>
        <v>#NAME?</v>
      </c>
      <c r="I6" s="2539">
        <v>-0.2</v>
      </c>
      <c r="J6" s="2539">
        <v>-0.25</v>
      </c>
      <c r="K6" s="1399">
        <v>-0.3</v>
      </c>
      <c r="L6" s="753"/>
      <c r="M6" s="750" t="s">
        <v>1286</v>
      </c>
      <c r="N6" s="751">
        <v>0.95</v>
      </c>
    </row>
    <row r="7" spans="1:16" x14ac:dyDescent="0.2">
      <c r="B7" s="756" t="s">
        <v>1234</v>
      </c>
      <c r="C7" s="2537" t="e">
        <f ca="1">'Income Statement'!C33</f>
        <v>#NAME?</v>
      </c>
      <c r="D7" s="2512" t="e">
        <f ca="1">'Income Statement'!D33</f>
        <v>#NAME?</v>
      </c>
      <c r="E7" s="2512" t="e">
        <f ca="1">'Income Statement'!E33</f>
        <v>#NAME?</v>
      </c>
      <c r="F7" s="2512" t="e">
        <f ca="1">'Income Statement'!F33</f>
        <v>#NAME?</v>
      </c>
      <c r="G7" s="2512" t="e">
        <f ca="1">'Income Statement'!G33</f>
        <v>#NAME?</v>
      </c>
      <c r="H7" s="2512" t="e">
        <f ca="1">'Income Statement'!H33</f>
        <v>#NAME?</v>
      </c>
      <c r="I7" s="2512" t="e">
        <f ca="1">H7*(1+I6)</f>
        <v>#NAME?</v>
      </c>
      <c r="J7" s="2512" t="e">
        <f t="shared" ref="J7:K7" ca="1" si="1">I7*(1+J6)</f>
        <v>#NAME?</v>
      </c>
      <c r="K7" s="758" t="e">
        <f t="shared" ca="1" si="1"/>
        <v>#NAME?</v>
      </c>
      <c r="L7" s="757"/>
      <c r="M7" s="754" t="s">
        <v>1287</v>
      </c>
      <c r="N7" s="755">
        <v>0.77</v>
      </c>
    </row>
    <row r="8" spans="1:16" x14ac:dyDescent="0.2">
      <c r="B8" s="760" t="s">
        <v>1288</v>
      </c>
      <c r="C8" s="2537" t="e">
        <f ca="1">-'Income Statement'!C28</f>
        <v>#NAME?</v>
      </c>
      <c r="D8" s="2512" t="e">
        <f ca="1">-'Income Statement'!D28</f>
        <v>#NAME?</v>
      </c>
      <c r="E8" s="2512" t="e">
        <f ca="1">-'Income Statement'!E28</f>
        <v>#NAME?</v>
      </c>
      <c r="F8" s="2512" t="e">
        <f ca="1">-'Income Statement'!F28</f>
        <v>#NAME?</v>
      </c>
      <c r="G8" s="2512" t="e">
        <f ca="1">-'Income Statement'!G28</f>
        <v>#NAME?</v>
      </c>
      <c r="H8" s="2512" t="e">
        <f ca="1">-'Income Statement'!H28</f>
        <v>#NAME?</v>
      </c>
      <c r="I8" s="2512" t="e">
        <f ca="1">AVERAGE(D8:H8)</f>
        <v>#NAME?</v>
      </c>
      <c r="J8" s="2512" t="e">
        <f t="shared" ref="J8:K10" ca="1" si="2">I8</f>
        <v>#NAME?</v>
      </c>
      <c r="K8" s="758" t="e">
        <f t="shared" ca="1" si="2"/>
        <v>#NAME?</v>
      </c>
      <c r="L8" s="757"/>
      <c r="M8" s="748" t="s">
        <v>1289</v>
      </c>
      <c r="N8" s="759">
        <f>AVERAGE(N6:N7)</f>
        <v>0.86</v>
      </c>
    </row>
    <row r="9" spans="1:16" x14ac:dyDescent="0.2">
      <c r="B9" s="760" t="s">
        <v>1290</v>
      </c>
      <c r="C9" s="2537" t="e">
        <f ca="1">-'Balance Sheet'!C30</f>
        <v>#NAME?</v>
      </c>
      <c r="D9" s="2512" t="e">
        <f ca="1">-'Balance Sheet'!D30+'Balance Sheet'!C30</f>
        <v>#NAME?</v>
      </c>
      <c r="E9" s="2512" t="e">
        <f ca="1">-'Balance Sheet'!E30+'Balance Sheet'!D30</f>
        <v>#NAME?</v>
      </c>
      <c r="F9" s="2512" t="e">
        <f ca="1">-'Balance Sheet'!F30+'Balance Sheet'!E30</f>
        <v>#NAME?</v>
      </c>
      <c r="G9" s="2512" t="e">
        <f ca="1">-'Balance Sheet'!G30+'Balance Sheet'!F30</f>
        <v>#NAME?</v>
      </c>
      <c r="H9" s="2512" t="e">
        <f ca="1">-'Balance Sheet'!H30+'Balance Sheet'!G30</f>
        <v>#NAME?</v>
      </c>
      <c r="I9" s="2512" t="e">
        <f ca="1">AVERAGE(D9:H9)</f>
        <v>#NAME?</v>
      </c>
      <c r="J9" s="2512" t="e">
        <f t="shared" ca="1" si="2"/>
        <v>#NAME?</v>
      </c>
      <c r="K9" s="758" t="e">
        <f t="shared" ca="1" si="2"/>
        <v>#NAME?</v>
      </c>
      <c r="L9" s="757"/>
      <c r="M9" s="750" t="s">
        <v>1291</v>
      </c>
      <c r="N9" s="761">
        <v>6.7000000000000004E-2</v>
      </c>
    </row>
    <row r="10" spans="1:16" x14ac:dyDescent="0.2">
      <c r="B10" s="760" t="s">
        <v>1292</v>
      </c>
      <c r="C10" s="2538" t="e">
        <f ca="1">-'FE Assumptions'!C68</f>
        <v>#NAME?</v>
      </c>
      <c r="D10" s="2518" t="e">
        <f ca="1">-'FE Assumptions'!D68</f>
        <v>#NAME?</v>
      </c>
      <c r="E10" s="2518" t="e">
        <f ca="1">-'FE Assumptions'!E68</f>
        <v>#NAME?</v>
      </c>
      <c r="F10" s="2518" t="e">
        <f ca="1">-'FE Assumptions'!F68</f>
        <v>#NAME?</v>
      </c>
      <c r="G10" s="2518" t="e">
        <f ca="1">-'FE Assumptions'!G68</f>
        <v>#NAME?</v>
      </c>
      <c r="H10" s="2518" t="e">
        <f ca="1">-'FE Assumptions'!H68</f>
        <v>#NAME?</v>
      </c>
      <c r="I10" s="2518" t="e">
        <f ca="1">AVERAGE(D10:H10)</f>
        <v>#NAME?</v>
      </c>
      <c r="J10" s="2518" t="e">
        <f t="shared" ca="1" si="2"/>
        <v>#NAME?</v>
      </c>
      <c r="K10" s="758" t="e">
        <f t="shared" ca="1" si="2"/>
        <v>#NAME?</v>
      </c>
      <c r="L10" s="757"/>
      <c r="M10" s="754" t="s">
        <v>1293</v>
      </c>
      <c r="N10" s="762">
        <v>6.0299999999999999E-2</v>
      </c>
    </row>
    <row r="11" spans="1:16" x14ac:dyDescent="0.2">
      <c r="B11" s="763" t="s">
        <v>1294</v>
      </c>
      <c r="C11" s="764" t="e">
        <f ca="1">SUM(C7:C10)</f>
        <v>#NAME?</v>
      </c>
      <c r="D11" s="765" t="e">
        <f t="shared" ref="D11:H11" ca="1" si="3">SUM(D7:D10)</f>
        <v>#NAME?</v>
      </c>
      <c r="E11" s="765" t="e">
        <f t="shared" ca="1" si="3"/>
        <v>#NAME?</v>
      </c>
      <c r="F11" s="765" t="e">
        <f t="shared" ca="1" si="3"/>
        <v>#NAME?</v>
      </c>
      <c r="G11" s="765" t="e">
        <f t="shared" ca="1" si="3"/>
        <v>#NAME?</v>
      </c>
      <c r="H11" s="765" t="e">
        <f t="shared" ca="1" si="3"/>
        <v>#NAME?</v>
      </c>
      <c r="I11" s="765" t="e">
        <f ca="1">SUM(I7:I10)</f>
        <v>#NAME?</v>
      </c>
      <c r="J11" s="765" t="e">
        <f t="shared" ref="J11:K11" ca="1" si="4">SUM(J7:J10)</f>
        <v>#NAME?</v>
      </c>
      <c r="K11" s="766" t="e">
        <f t="shared" ca="1" si="4"/>
        <v>#NAME?</v>
      </c>
      <c r="L11" s="767"/>
      <c r="M11" s="748" t="s">
        <v>1295</v>
      </c>
      <c r="N11" s="749">
        <f>SUM(N9:N10)</f>
        <v>0.1273</v>
      </c>
    </row>
    <row r="12" spans="1:16" x14ac:dyDescent="0.2">
      <c r="B12" s="770" t="s">
        <v>1296</v>
      </c>
      <c r="C12" s="771" t="s">
        <v>1167</v>
      </c>
      <c r="D12" s="2540" t="e">
        <f ca="1">-((D11-C11)/C11)</f>
        <v>#NAME?</v>
      </c>
      <c r="E12" s="2540" t="e">
        <f ca="1">-(E11-D11)/D11</f>
        <v>#NAME?</v>
      </c>
      <c r="F12" s="2540" t="e">
        <f ca="1">-(F11-E11)/E11</f>
        <v>#NAME?</v>
      </c>
      <c r="G12" s="2540" t="e">
        <f ca="1">(G11-F11)/F11</f>
        <v>#NAME?</v>
      </c>
      <c r="H12" s="2540" t="e">
        <f t="shared" ref="H12" ca="1" si="5">(H11-G11)/G11</f>
        <v>#NAME?</v>
      </c>
      <c r="I12" s="2540" t="e">
        <f ca="1">(I11-H11)/H11</f>
        <v>#NAME?</v>
      </c>
      <c r="J12" s="2540" t="e">
        <f t="shared" ref="J12" ca="1" si="6">(J11-I11)/I11</f>
        <v>#NAME?</v>
      </c>
      <c r="K12" s="1400" t="e">
        <f t="shared" ref="K12" ca="1" si="7">(K11-J11)/J11</f>
        <v>#NAME?</v>
      </c>
      <c r="L12" s="772"/>
      <c r="M12" s="768" t="s">
        <v>1297</v>
      </c>
      <c r="N12" s="769">
        <f>N5+N8*(N11)</f>
        <v>0.12567799999999998</v>
      </c>
    </row>
    <row r="13" spans="1:16" x14ac:dyDescent="0.2">
      <c r="B13" s="773" t="s">
        <v>1298</v>
      </c>
      <c r="C13" s="774" t="e">
        <f ca="1">_xll.RiskOutput("NPV")+NPV(N12,D11:K11)+C11</f>
        <v>#NAME?</v>
      </c>
      <c r="D13" s="767"/>
      <c r="E13" s="772"/>
      <c r="F13" s="772"/>
      <c r="G13" s="772"/>
      <c r="H13" s="775"/>
    </row>
    <row r="14" spans="1:16" x14ac:dyDescent="0.2">
      <c r="B14" s="1525"/>
      <c r="C14" s="767"/>
      <c r="D14" s="767"/>
      <c r="E14" s="772"/>
      <c r="F14" s="772"/>
      <c r="G14" s="772"/>
      <c r="H14" s="775"/>
    </row>
    <row r="15" spans="1:16" x14ac:dyDescent="0.2">
      <c r="A15" s="968"/>
      <c r="B15" s="2779" t="s">
        <v>1299</v>
      </c>
      <c r="C15" s="2780"/>
      <c r="D15" s="2780"/>
      <c r="E15" s="2780"/>
      <c r="F15" s="2780"/>
      <c r="G15" s="2780"/>
      <c r="H15" s="2780"/>
      <c r="I15" s="2780"/>
      <c r="J15" s="2780"/>
      <c r="K15" s="2781"/>
      <c r="P15" s="767"/>
    </row>
    <row r="16" spans="1:16" x14ac:dyDescent="0.2">
      <c r="B16" s="1172" t="s">
        <v>1300</v>
      </c>
      <c r="C16" s="1174" t="e">
        <f ca="1">IRR(C17:K17)</f>
        <v>#VALUE!</v>
      </c>
      <c r="D16" s="791"/>
      <c r="E16" s="791"/>
      <c r="F16" s="791"/>
      <c r="G16" s="791"/>
      <c r="H16" s="791"/>
      <c r="I16" s="791"/>
      <c r="J16" s="791"/>
      <c r="K16" s="1158"/>
      <c r="P16" s="767"/>
    </row>
    <row r="17" spans="2:16" x14ac:dyDescent="0.2">
      <c r="B17" s="787" t="s">
        <v>1301</v>
      </c>
      <c r="C17" s="788" t="e">
        <f t="shared" ref="C17:K17" ca="1" si="8">C11</f>
        <v>#NAME?</v>
      </c>
      <c r="D17" s="788" t="e">
        <f t="shared" ca="1" si="8"/>
        <v>#NAME?</v>
      </c>
      <c r="E17" s="788" t="e">
        <f t="shared" ca="1" si="8"/>
        <v>#NAME?</v>
      </c>
      <c r="F17" s="788" t="e">
        <f t="shared" ca="1" si="8"/>
        <v>#NAME?</v>
      </c>
      <c r="G17" s="788" t="e">
        <f t="shared" ca="1" si="8"/>
        <v>#NAME?</v>
      </c>
      <c r="H17" s="788" t="e">
        <f t="shared" ca="1" si="8"/>
        <v>#NAME?</v>
      </c>
      <c r="I17" s="788" t="e">
        <f t="shared" ca="1" si="8"/>
        <v>#NAME?</v>
      </c>
      <c r="J17" s="788" t="e">
        <f t="shared" ca="1" si="8"/>
        <v>#NAME?</v>
      </c>
      <c r="K17" s="789" t="e">
        <f t="shared" ca="1" si="8"/>
        <v>#NAME?</v>
      </c>
      <c r="P17" s="767"/>
    </row>
    <row r="18" spans="2:16" x14ac:dyDescent="0.2">
      <c r="C18" s="792"/>
      <c r="P18" s="767"/>
    </row>
    <row r="19" spans="2:16" x14ac:dyDescent="0.2">
      <c r="B19" s="2779" t="s">
        <v>1302</v>
      </c>
      <c r="C19" s="2780"/>
      <c r="D19" s="2780"/>
      <c r="E19" s="2780"/>
      <c r="F19" s="2780"/>
      <c r="G19" s="2780"/>
      <c r="H19" s="2780"/>
      <c r="I19" s="2780"/>
      <c r="J19" s="2780"/>
      <c r="K19" s="2781"/>
      <c r="P19" s="767"/>
    </row>
    <row r="20" spans="2:16" x14ac:dyDescent="0.2">
      <c r="B20" s="1179">
        <v>0.01</v>
      </c>
      <c r="C20" s="1175">
        <f>D20-$B$20</f>
        <v>9.5677999999999999E-2</v>
      </c>
      <c r="D20" s="1176">
        <f>E20-$B$20</f>
        <v>0.10567799999999999</v>
      </c>
      <c r="E20" s="1176">
        <f>F20-$B$20</f>
        <v>0.11567799999999999</v>
      </c>
      <c r="F20" s="1176">
        <f>N12</f>
        <v>0.12567799999999998</v>
      </c>
      <c r="G20" s="1176">
        <f>F20+$B$20</f>
        <v>0.13567799999999999</v>
      </c>
      <c r="H20" s="1176">
        <f>G20+$B$20</f>
        <v>0.145678</v>
      </c>
      <c r="I20" s="1176">
        <f>H20+$B$20</f>
        <v>0.15567800000000001</v>
      </c>
      <c r="J20" s="1177" t="e">
        <f ca="1">C16</f>
        <v>#VALUE!</v>
      </c>
      <c r="K20" s="919" t="e">
        <f ca="1">J20+0.03</f>
        <v>#VALUE!</v>
      </c>
    </row>
    <row r="21" spans="2:16" x14ac:dyDescent="0.2">
      <c r="B21" s="1180" t="s">
        <v>1303</v>
      </c>
      <c r="C21" s="1178" t="e">
        <f t="shared" ref="C21:K21" ca="1" si="9">NPV(C20,$D$11:$K$11)+$C$11</f>
        <v>#NAME?</v>
      </c>
      <c r="D21" s="793" t="e">
        <f t="shared" ca="1" si="9"/>
        <v>#NAME?</v>
      </c>
      <c r="E21" s="793" t="e">
        <f t="shared" ca="1" si="9"/>
        <v>#NAME?</v>
      </c>
      <c r="F21" s="793" t="e">
        <f t="shared" ca="1" si="9"/>
        <v>#NAME?</v>
      </c>
      <c r="G21" s="793" t="e">
        <f t="shared" ca="1" si="9"/>
        <v>#NAME?</v>
      </c>
      <c r="H21" s="793" t="e">
        <f t="shared" ca="1" si="9"/>
        <v>#NAME?</v>
      </c>
      <c r="I21" s="793" t="e">
        <f t="shared" ca="1" si="9"/>
        <v>#NAME?</v>
      </c>
      <c r="J21" s="793" t="e">
        <f t="shared" ca="1" si="9"/>
        <v>#VALUE!</v>
      </c>
      <c r="K21" s="794" t="e">
        <f t="shared" ca="1" si="9"/>
        <v>#VALUE!</v>
      </c>
    </row>
    <row r="22" spans="2:16" x14ac:dyDescent="0.2">
      <c r="E22" s="776"/>
      <c r="F22" s="776"/>
      <c r="G22" s="776"/>
      <c r="H22" s="776"/>
    </row>
    <row r="23" spans="2:16" x14ac:dyDescent="0.2">
      <c r="B23" s="1440" t="s">
        <v>1304</v>
      </c>
      <c r="C23" s="2787" t="s">
        <v>1305</v>
      </c>
      <c r="D23" s="2788"/>
      <c r="E23" s="2788"/>
      <c r="F23" s="2789"/>
      <c r="G23" s="776"/>
      <c r="H23" s="776"/>
    </row>
    <row r="24" spans="2:16" x14ac:dyDescent="0.2">
      <c r="E24" s="776"/>
      <c r="F24" s="776"/>
      <c r="G24" s="776"/>
      <c r="H24" s="776"/>
    </row>
    <row r="25" spans="2:16" x14ac:dyDescent="0.2">
      <c r="B25" s="2782" t="s">
        <v>1306</v>
      </c>
      <c r="C25" s="2783"/>
      <c r="E25" s="1656" t="s">
        <v>1307</v>
      </c>
      <c r="F25" s="1654" t="e">
        <f ca="1">NPV(N12,I11:K11)</f>
        <v>#NAME?</v>
      </c>
    </row>
    <row r="26" spans="2:16" x14ac:dyDescent="0.2">
      <c r="B26" s="778" t="s">
        <v>1003</v>
      </c>
      <c r="C26" s="1502">
        <v>-0.05</v>
      </c>
      <c r="E26" s="1657" t="s">
        <v>1308</v>
      </c>
      <c r="F26" s="1655" t="e">
        <f ca="1">F25/(1+N12)^5</f>
        <v>#NAME?</v>
      </c>
    </row>
    <row r="27" spans="2:16" x14ac:dyDescent="0.2">
      <c r="B27" s="778" t="s">
        <v>1309</v>
      </c>
      <c r="C27" s="779" t="e">
        <f ca="1">(H11*(1+C26))/(N12-C26)</f>
        <v>#NAME?</v>
      </c>
      <c r="E27" s="1658" t="s">
        <v>1310</v>
      </c>
      <c r="F27" s="794" t="e">
        <f ca="1">NPV(N12,D11:H11)+F26+C11</f>
        <v>#NAME?</v>
      </c>
    </row>
    <row r="28" spans="2:16" x14ac:dyDescent="0.2">
      <c r="B28" s="778" t="s">
        <v>1311</v>
      </c>
      <c r="C28" s="779" t="e">
        <f ca="1">C27/(1+N12)^5</f>
        <v>#NAME?</v>
      </c>
    </row>
    <row r="29" spans="2:16" x14ac:dyDescent="0.2">
      <c r="B29" s="778" t="s">
        <v>1312</v>
      </c>
      <c r="C29" s="779" t="e">
        <f ca="1">C11+NPV(N12,D11:H11)</f>
        <v>#NAME?</v>
      </c>
    </row>
    <row r="30" spans="2:16" x14ac:dyDescent="0.2">
      <c r="B30" s="778" t="s">
        <v>1313</v>
      </c>
      <c r="C30" s="779" t="e">
        <f ca="1">C28+C29</f>
        <v>#NAME?</v>
      </c>
    </row>
    <row r="31" spans="2:16" x14ac:dyDescent="0.2">
      <c r="B31" s="781" t="s">
        <v>1314</v>
      </c>
      <c r="C31" s="782" t="e">
        <f ca="1">C27/'Income Statement'!H25</f>
        <v>#NAME?</v>
      </c>
    </row>
    <row r="33" spans="1:7" x14ac:dyDescent="0.2">
      <c r="B33" s="2782" t="s">
        <v>1315</v>
      </c>
      <c r="C33" s="2783"/>
    </row>
    <row r="34" spans="1:7" x14ac:dyDescent="0.2">
      <c r="B34" s="1198" t="s">
        <v>1316</v>
      </c>
      <c r="C34" s="1529">
        <f>CompCo!K9</f>
        <v>18.498999953126464</v>
      </c>
    </row>
    <row r="35" spans="1:7" x14ac:dyDescent="0.2">
      <c r="B35" s="1198" t="s">
        <v>1309</v>
      </c>
      <c r="C35" s="758" t="e">
        <f ca="1">'Income Statement'!H25*C34</f>
        <v>#NAME?</v>
      </c>
      <c r="F35" s="1324"/>
      <c r="G35" s="791"/>
    </row>
    <row r="36" spans="1:7" x14ac:dyDescent="0.2">
      <c r="B36" s="1198" t="s">
        <v>1311</v>
      </c>
      <c r="C36" s="758" t="e">
        <f ca="1">C35/(1+N12)^5</f>
        <v>#NAME?</v>
      </c>
      <c r="F36" s="1324"/>
      <c r="G36" s="791"/>
    </row>
    <row r="37" spans="1:7" x14ac:dyDescent="0.2">
      <c r="A37" s="786"/>
      <c r="B37" s="786" t="s">
        <v>1312</v>
      </c>
      <c r="C37" s="758" t="e">
        <f ca="1">C11+NPV(N12,D11:H11)</f>
        <v>#NAME?</v>
      </c>
      <c r="F37" s="1324"/>
      <c r="G37" s="791"/>
    </row>
    <row r="38" spans="1:7" x14ac:dyDescent="0.2">
      <c r="B38" s="1198" t="s">
        <v>1313</v>
      </c>
      <c r="C38" s="758" t="e">
        <f ca="1">C37+C36</f>
        <v>#NAME?</v>
      </c>
      <c r="F38" s="1324"/>
      <c r="G38" s="791"/>
    </row>
    <row r="39" spans="1:7" x14ac:dyDescent="0.2">
      <c r="B39" s="855" t="s">
        <v>1317</v>
      </c>
      <c r="C39" s="1329" t="e">
        <f ca="1">(C35*N12-H11)/(C35+H11)</f>
        <v>#NAME?</v>
      </c>
      <c r="F39" s="791"/>
      <c r="G39" s="791"/>
    </row>
    <row r="40" spans="1:7" x14ac:dyDescent="0.2">
      <c r="A40" s="767"/>
      <c r="B40" s="776"/>
      <c r="C40" s="767"/>
      <c r="D40" s="772"/>
    </row>
    <row r="41" spans="1:7" ht="18" thickTop="1" thickBot="1" x14ac:dyDescent="0.25">
      <c r="B41" s="1506" t="s">
        <v>1318</v>
      </c>
      <c r="C41" s="1507"/>
      <c r="D41" s="1524" t="s">
        <v>1319</v>
      </c>
    </row>
    <row r="42" spans="1:7" ht="17" thickTop="1" x14ac:dyDescent="0.2">
      <c r="B42" s="783" t="s">
        <v>1320</v>
      </c>
      <c r="C42" s="2541" t="e">
        <f ca="1">C30</f>
        <v>#NAME?</v>
      </c>
      <c r="D42" s="1502">
        <v>0.5</v>
      </c>
    </row>
    <row r="43" spans="1:7" ht="17" thickBot="1" x14ac:dyDescent="0.25">
      <c r="A43" s="767"/>
      <c r="B43" s="784" t="s">
        <v>1321</v>
      </c>
      <c r="C43" s="2542" t="e">
        <f ca="1">C36</f>
        <v>#NAME?</v>
      </c>
      <c r="D43" s="1502">
        <v>0.5</v>
      </c>
    </row>
    <row r="44" spans="1:7" ht="18" thickTop="1" thickBot="1" x14ac:dyDescent="0.25">
      <c r="A44" s="767"/>
      <c r="B44" s="780" t="s">
        <v>1322</v>
      </c>
      <c r="C44" s="1501" t="e">
        <f ca="1">(C42*D42)+(C43*D43)</f>
        <v>#NAME?</v>
      </c>
      <c r="D44" s="1503">
        <f>SUM(D42:D43)</f>
        <v>1</v>
      </c>
    </row>
    <row r="45" spans="1:7" x14ac:dyDescent="0.2">
      <c r="A45" s="767"/>
    </row>
  </sheetData>
  <mergeCells count="6">
    <mergeCell ref="B15:K15"/>
    <mergeCell ref="B33:C33"/>
    <mergeCell ref="B25:C25"/>
    <mergeCell ref="B19:K19"/>
    <mergeCell ref="B5:K5"/>
    <mergeCell ref="C23:F23"/>
  </mergeCells>
  <phoneticPr fontId="59" type="noConversion"/>
  <conditionalFormatting sqref="C20:I20">
    <cfRule type="colorScale" priority="10">
      <colorScale>
        <cfvo type="min"/>
        <cfvo type="max"/>
        <color rgb="FFFCFCFF"/>
        <color rgb="FF63BE7B"/>
      </colorScale>
    </cfRule>
  </conditionalFormatting>
  <conditionalFormatting sqref="C20:I20">
    <cfRule type="colorScale" priority="11">
      <colorScale>
        <cfvo type="min"/>
        <cfvo type="max"/>
        <color rgb="FF63BE7B"/>
        <color rgb="FFFCFCFF"/>
      </colorScale>
    </cfRule>
  </conditionalFormatting>
  <conditionalFormatting sqref="C21:K21">
    <cfRule type="colorScale" priority="12">
      <colorScale>
        <cfvo type="min"/>
        <cfvo type="max"/>
        <color rgb="FFFCFCFF"/>
        <color rgb="FF63BE7B"/>
      </colorScale>
    </cfRule>
  </conditionalFormatting>
  <conditionalFormatting sqref="C20:K20">
    <cfRule type="colorScale" priority="4">
      <colorScale>
        <cfvo type="min"/>
        <cfvo type="max"/>
        <color rgb="FFFCFCFF"/>
        <color rgb="FF63BE7B"/>
      </colorScale>
    </cfRule>
  </conditionalFormatting>
  <conditionalFormatting sqref="C20:K20">
    <cfRule type="colorScale" priority="3">
      <colorScale>
        <cfvo type="min"/>
        <cfvo type="max"/>
        <color rgb="FF63BE7B"/>
        <color rgb="FFFCFCFF"/>
      </colorScale>
    </cfRule>
  </conditionalFormatting>
  <conditionalFormatting sqref="C21:K21">
    <cfRule type="colorScale" priority="2">
      <colorScale>
        <cfvo type="min"/>
        <cfvo type="max"/>
        <color rgb="FF63BE7B"/>
        <color rgb="FFFCFCFF"/>
      </colorScale>
    </cfRule>
  </conditionalFormatting>
  <conditionalFormatting sqref="C21:K21">
    <cfRule type="colorScale" priority="1">
      <colorScale>
        <cfvo type="min"/>
        <cfvo type="max"/>
        <color rgb="FFFCFCFF"/>
        <color rgb="FF63BE7B"/>
      </colorScale>
    </cfRule>
  </conditionalFormatting>
  <hyperlinks>
    <hyperlink ref="A1" location="index!A1" display="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C11"/>
  <sheetViews>
    <sheetView workbookViewId="0">
      <selection activeCell="C3" sqref="C3"/>
    </sheetView>
  </sheetViews>
  <sheetFormatPr baseColWidth="10" defaultColWidth="10.83203125" defaultRowHeight="16" x14ac:dyDescent="0.2"/>
  <sheetData>
    <row r="1" spans="1:3" x14ac:dyDescent="0.2">
      <c r="A1" s="1" t="s">
        <v>38</v>
      </c>
      <c r="B1" s="2644" t="s">
        <v>1476</v>
      </c>
      <c r="C1" s="2645" t="e">
        <f ca="1">riskoutput()+Valuation!C13</f>
        <v>#NAME?</v>
      </c>
    </row>
    <row r="2" spans="1:3" x14ac:dyDescent="0.2">
      <c r="B2" s="2646" t="s">
        <v>1480</v>
      </c>
      <c r="C2" s="2647" t="e">
        <f ca="1">_xll.RiskMean(C1)</f>
        <v>#NAME?</v>
      </c>
    </row>
    <row r="3" spans="1:3" x14ac:dyDescent="0.2">
      <c r="B3" s="2646" t="s">
        <v>1481</v>
      </c>
      <c r="C3" s="2647" t="e">
        <f ca="1">_xll.RiskMin(C1)</f>
        <v>#NAME?</v>
      </c>
    </row>
    <row r="4" spans="1:3" x14ac:dyDescent="0.2">
      <c r="B4" s="2646" t="s">
        <v>1482</v>
      </c>
      <c r="C4" s="2647" t="e">
        <f ca="1">_xll.RiskMax(C1)</f>
        <v>#NAME?</v>
      </c>
    </row>
    <row r="5" spans="1:3" x14ac:dyDescent="0.2">
      <c r="B5" s="2646" t="s">
        <v>1483</v>
      </c>
      <c r="C5" s="2647" t="e">
        <f ca="1">_xll.RiskStdDev(C1)</f>
        <v>#NAME?</v>
      </c>
    </row>
    <row r="6" spans="1:3" x14ac:dyDescent="0.2">
      <c r="B6" s="2646" t="s">
        <v>1378</v>
      </c>
      <c r="C6" s="2647" t="e">
        <f ca="1">_xll.RiskPercentile(C1,0.5)</f>
        <v>#NAME?</v>
      </c>
    </row>
    <row r="7" spans="1:3" x14ac:dyDescent="0.2">
      <c r="B7" s="2646" t="s">
        <v>1484</v>
      </c>
      <c r="C7" s="2647" t="e">
        <f ca="1">_xll.RiskPercentile(C1,0.05)</f>
        <v>#NAME?</v>
      </c>
    </row>
    <row r="8" spans="1:3" x14ac:dyDescent="0.2">
      <c r="B8" s="2646" t="s">
        <v>1485</v>
      </c>
      <c r="C8" s="2647" t="e">
        <f ca="1">_xll.RiskPercentile(C1,0.25)</f>
        <v>#NAME?</v>
      </c>
    </row>
    <row r="9" spans="1:3" x14ac:dyDescent="0.2">
      <c r="B9" s="2646" t="s">
        <v>1486</v>
      </c>
      <c r="C9" s="2647" t="e">
        <f ca="1">_xll.RiskPercentile(C1,0.75)</f>
        <v>#NAME?</v>
      </c>
    </row>
    <row r="10" spans="1:3" x14ac:dyDescent="0.2">
      <c r="B10" s="2646" t="s">
        <v>1487</v>
      </c>
      <c r="C10" s="2647" t="e">
        <f ca="1">_xll.RiskPercentile(C1,0.95)</f>
        <v>#NAME?</v>
      </c>
    </row>
    <row r="11" spans="1:3" ht="17" thickBot="1" x14ac:dyDescent="0.25">
      <c r="B11" s="2648" t="s">
        <v>1488</v>
      </c>
      <c r="C11" s="2649" t="e">
        <f ca="1">1-_xll.RiskTarget(C1,0)</f>
        <v>#NAME?</v>
      </c>
    </row>
  </sheetData>
  <phoneticPr fontId="59" type="noConversion"/>
  <hyperlinks>
    <hyperlink ref="A1" location="Index!A1" display="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K28"/>
  <sheetViews>
    <sheetView showGridLines="0" workbookViewId="0">
      <selection activeCell="F20" sqref="F20"/>
    </sheetView>
  </sheetViews>
  <sheetFormatPr baseColWidth="10" defaultColWidth="8.83203125" defaultRowHeight="16" x14ac:dyDescent="0.2"/>
  <cols>
    <col min="1" max="1" width="8.83203125" style="745"/>
    <col min="2" max="2" width="28.83203125" style="745" bestFit="1" customWidth="1"/>
    <col min="3" max="3" width="23.5" style="745" bestFit="1" customWidth="1"/>
    <col min="4" max="4" width="20.6640625" style="745" bestFit="1" customWidth="1"/>
    <col min="5" max="6" width="17.83203125" style="745" customWidth="1"/>
    <col min="7" max="7" width="20" style="745" customWidth="1"/>
    <col min="8" max="8" width="16.6640625" style="745" customWidth="1"/>
    <col min="9" max="10" width="14.33203125" style="745" bestFit="1" customWidth="1"/>
    <col min="11" max="11" width="12.6640625" style="745" bestFit="1" customWidth="1"/>
    <col min="12" max="12" width="24.6640625" style="745" customWidth="1"/>
    <col min="13" max="13" width="24" style="745" customWidth="1"/>
    <col min="14" max="14" width="20.1640625" style="745" bestFit="1" customWidth="1"/>
    <col min="15" max="15" width="6.1640625" style="745" customWidth="1"/>
    <col min="16" max="16384" width="8.83203125" style="745"/>
  </cols>
  <sheetData>
    <row r="1" spans="1:11" ht="17" thickBot="1" x14ac:dyDescent="0.25">
      <c r="A1" s="1771" t="s">
        <v>38</v>
      </c>
      <c r="B1" s="2566" t="s">
        <v>1528</v>
      </c>
      <c r="C1" s="2742"/>
      <c r="D1" s="2743"/>
    </row>
    <row r="3" spans="1:11" x14ac:dyDescent="0.2">
      <c r="C3" s="791"/>
      <c r="D3" s="791"/>
      <c r="E3" s="1640" t="s">
        <v>188</v>
      </c>
      <c r="F3" s="1641" t="s">
        <v>71</v>
      </c>
      <c r="G3" s="1641" t="s">
        <v>72</v>
      </c>
      <c r="H3" s="1641" t="s">
        <v>73</v>
      </c>
      <c r="I3" s="1641" t="s">
        <v>74</v>
      </c>
      <c r="J3" s="1642" t="s">
        <v>75</v>
      </c>
      <c r="K3" s="1395"/>
    </row>
    <row r="4" spans="1:11" ht="15.75" customHeight="1" x14ac:dyDescent="0.2">
      <c r="B4" s="777" t="s">
        <v>1379</v>
      </c>
      <c r="C4" s="2629" t="s">
        <v>1380</v>
      </c>
      <c r="D4" s="2630" t="s">
        <v>1381</v>
      </c>
      <c r="E4" s="2631">
        <v>0</v>
      </c>
      <c r="F4" s="2632">
        <v>0</v>
      </c>
      <c r="G4" s="2632">
        <f>OH!E21-OH!D21</f>
        <v>0</v>
      </c>
      <c r="H4" s="2632">
        <f>OH!F21-OH!E21</f>
        <v>73636.799999999988</v>
      </c>
      <c r="I4" s="2632">
        <f>OH!G21-OH!F21</f>
        <v>0</v>
      </c>
      <c r="J4" s="2633">
        <f>OH!H21-OH!G21</f>
        <v>0</v>
      </c>
    </row>
    <row r="5" spans="1:11" x14ac:dyDescent="0.2">
      <c r="C5" s="2634" t="s">
        <v>1382</v>
      </c>
      <c r="D5" s="2635" t="s">
        <v>1381</v>
      </c>
      <c r="E5" s="2636">
        <v>0</v>
      </c>
      <c r="F5" s="2637">
        <v>0</v>
      </c>
      <c r="G5" s="2637" t="e">
        <f ca="1">(Salaries!G80-(Salaries!G52))/2</f>
        <v>#NAME?</v>
      </c>
      <c r="H5" s="2637" t="e">
        <f ca="1">(Salaries!G108-Salaries!G80)/2</f>
        <v>#NAME?</v>
      </c>
      <c r="I5" s="2637" t="e">
        <f ca="1">(Salaries!G136-Salaries!G108)/2</f>
        <v>#NAME?</v>
      </c>
      <c r="J5" s="2638" t="e">
        <f ca="1">(Salaries!G164-Salaries!G136)/2</f>
        <v>#NAME?</v>
      </c>
    </row>
    <row r="6" spans="1:11" x14ac:dyDescent="0.2">
      <c r="C6" s="2634" t="s">
        <v>1383</v>
      </c>
      <c r="D6" s="2635" t="s">
        <v>1384</v>
      </c>
      <c r="E6" s="2636">
        <v>0</v>
      </c>
      <c r="F6" s="2637">
        <v>-15000</v>
      </c>
      <c r="G6" s="2637">
        <v>-15000</v>
      </c>
      <c r="H6" s="2637">
        <v>-15000</v>
      </c>
      <c r="I6" s="2637">
        <v>-15000</v>
      </c>
      <c r="J6" s="2638">
        <v>-15000</v>
      </c>
    </row>
    <row r="7" spans="1:11" x14ac:dyDescent="0.2">
      <c r="C7" s="2639" t="s">
        <v>1385</v>
      </c>
      <c r="D7" s="2640" t="s">
        <v>1384</v>
      </c>
      <c r="E7" s="2641">
        <v>0</v>
      </c>
      <c r="F7" s="2642">
        <v>0</v>
      </c>
      <c r="G7" s="2642">
        <v>0</v>
      </c>
      <c r="H7" s="2642">
        <f>-0.05/(('IMC Schedules'!$R87+'IMC Schedules'!$Q87)/2)*'IMC Schedules'!$O87</f>
        <v>-92274.899138762019</v>
      </c>
      <c r="I7" s="2642">
        <f>-0.05/(('IMC Schedules'!$R87+'IMC Schedules'!$Q87)/2)*'IMC Schedules'!$O87</f>
        <v>-92274.899138762019</v>
      </c>
      <c r="J7" s="2643">
        <f>-0.05/(('IMC Schedules'!$R87+'IMC Schedules'!$Q87)/2)*'IMC Schedules'!$O87</f>
        <v>-92274.899138762019</v>
      </c>
    </row>
    <row r="8" spans="1:11" x14ac:dyDescent="0.2">
      <c r="B8" s="1644" t="s">
        <v>1386</v>
      </c>
      <c r="C8" s="2661" t="s">
        <v>1387</v>
      </c>
      <c r="D8" s="2662" t="s">
        <v>1388</v>
      </c>
      <c r="E8" s="2663">
        <v>0</v>
      </c>
      <c r="F8" s="2664" t="e">
        <f ca="1">-Inventory!$M28*'BASES MODEL (Base Case)'!C37/270000*3100</f>
        <v>#NAME?</v>
      </c>
      <c r="G8" s="2664" t="e">
        <f ca="1">-Inventory!$M28*'BASES MODEL (Base Case)'!D37/270000*3100</f>
        <v>#NAME?</v>
      </c>
      <c r="H8" s="2664" t="e">
        <f ca="1">-Inventory!$M28*'BASES MODEL (Base Case)'!E37/270000*3100</f>
        <v>#NAME?</v>
      </c>
      <c r="I8" s="2664" t="e">
        <f ca="1">-Inventory!$M28*'BASES MODEL (Base Case)'!F37/270000*3100</f>
        <v>#NAME?</v>
      </c>
      <c r="J8" s="2665" t="e">
        <f ca="1">-Inventory!$M28*'BASES MODEL (Base Case)'!G37/270000*3100</f>
        <v>#NAME?</v>
      </c>
    </row>
    <row r="9" spans="1:11" x14ac:dyDescent="0.2">
      <c r="B9" s="777" t="s">
        <v>1389</v>
      </c>
      <c r="C9" s="916" t="s">
        <v>1390</v>
      </c>
      <c r="D9" s="2198" t="s">
        <v>1388</v>
      </c>
      <c r="E9" s="2204">
        <v>0</v>
      </c>
      <c r="F9" s="1628">
        <v>0</v>
      </c>
      <c r="G9" s="1628">
        <v>0</v>
      </c>
      <c r="H9" s="1628">
        <v>-91000</v>
      </c>
      <c r="I9" s="1628">
        <v>-91000</v>
      </c>
      <c r="J9" s="1629">
        <v>-91000</v>
      </c>
    </row>
    <row r="10" spans="1:11" x14ac:dyDescent="0.2">
      <c r="C10" s="920" t="s">
        <v>1391</v>
      </c>
      <c r="D10" s="756" t="s">
        <v>1388</v>
      </c>
      <c r="E10" s="2205">
        <v>0</v>
      </c>
      <c r="F10" s="1326" t="e">
        <f ca="1">-0.1*'FE Assumptions'!D46*'BASES MODEL (Base Case)'!C37</f>
        <v>#NAME?</v>
      </c>
      <c r="G10" s="1326" t="e">
        <f ca="1">-0.1*'FE Assumptions'!E46*'BASES MODEL (Base Case)'!D37</f>
        <v>#NAME?</v>
      </c>
      <c r="H10" s="1326" t="e">
        <f ca="1">-0.1*'FE Assumptions'!F46*'BASES MODEL (Base Case)'!E37</f>
        <v>#NAME?</v>
      </c>
      <c r="I10" s="1326" t="e">
        <f ca="1">-0.1*'FE Assumptions'!G46*'BASES MODEL (Base Case)'!F37</f>
        <v>#NAME?</v>
      </c>
      <c r="J10" s="1630" t="e">
        <f ca="1">-0.1*'FE Assumptions'!H46*'BASES MODEL (Base Case)'!G37</f>
        <v>#NAME?</v>
      </c>
    </row>
    <row r="11" spans="1:11" x14ac:dyDescent="0.2">
      <c r="C11" s="920" t="s">
        <v>1392</v>
      </c>
      <c r="D11" s="756" t="s">
        <v>1388</v>
      </c>
      <c r="E11" s="2205">
        <v>0</v>
      </c>
      <c r="F11" s="1326">
        <v>0</v>
      </c>
      <c r="G11" s="1326">
        <v>0</v>
      </c>
      <c r="H11" s="1326">
        <f>-(Salaries!E102+Salaries!F103)*2</f>
        <v>-215291.25</v>
      </c>
      <c r="I11" s="1326">
        <f>-(Salaries!E130+Salaries!F130)*2</f>
        <v>-205420.55624999999</v>
      </c>
      <c r="J11" s="1630">
        <f>-(Salaries!E158+Salaries!F158)*2</f>
        <v>-215691.58406249998</v>
      </c>
    </row>
    <row r="12" spans="1:11" x14ac:dyDescent="0.2">
      <c r="C12" s="920" t="s">
        <v>1393</v>
      </c>
      <c r="D12" s="756" t="s">
        <v>1388</v>
      </c>
      <c r="E12" s="2205">
        <v>0</v>
      </c>
      <c r="F12" s="1326">
        <v>0</v>
      </c>
      <c r="G12" s="1326">
        <v>0</v>
      </c>
      <c r="H12" s="1326" t="e">
        <f ca="1">'BASES MODEL (Base Case)'!C37*-50</f>
        <v>#NAME?</v>
      </c>
      <c r="I12" s="1326" t="e">
        <f ca="1">'BASES MODEL (Base Case)'!D37*-50</f>
        <v>#NAME?</v>
      </c>
      <c r="J12" s="1630" t="e">
        <f ca="1">'BASES MODEL (Base Case)'!E37*-50</f>
        <v>#NAME?</v>
      </c>
    </row>
    <row r="13" spans="1:11" x14ac:dyDescent="0.2">
      <c r="B13" s="777" t="s">
        <v>1394</v>
      </c>
      <c r="C13" s="916" t="s">
        <v>1395</v>
      </c>
      <c r="D13" s="2198" t="s">
        <v>1388</v>
      </c>
      <c r="E13" s="2204">
        <f>E7</f>
        <v>0</v>
      </c>
      <c r="F13" s="1628">
        <f t="shared" ref="F13:J13" si="0">F7</f>
        <v>0</v>
      </c>
      <c r="G13" s="1628">
        <f t="shared" si="0"/>
        <v>0</v>
      </c>
      <c r="H13" s="1628">
        <f t="shared" si="0"/>
        <v>-92274.899138762019</v>
      </c>
      <c r="I13" s="1628">
        <f t="shared" si="0"/>
        <v>-92274.899138762019</v>
      </c>
      <c r="J13" s="1629">
        <f t="shared" si="0"/>
        <v>-92274.899138762019</v>
      </c>
    </row>
    <row r="14" spans="1:11" x14ac:dyDescent="0.2">
      <c r="C14" s="920" t="s">
        <v>1396</v>
      </c>
      <c r="D14" s="756" t="s">
        <v>1388</v>
      </c>
      <c r="E14" s="2205">
        <v>0</v>
      </c>
      <c r="F14" s="1326">
        <v>0</v>
      </c>
      <c r="G14" s="1326">
        <v>0</v>
      </c>
      <c r="H14" s="1326">
        <f>-'IMC Schedules'!$O87</f>
        <v>-351909.94999999995</v>
      </c>
      <c r="I14" s="1326">
        <f>-'IMC Schedules'!$O87</f>
        <v>-351909.94999999995</v>
      </c>
      <c r="J14" s="1630">
        <f>-'IMC Schedules'!$O87</f>
        <v>-351909.94999999995</v>
      </c>
    </row>
    <row r="15" spans="1:11" x14ac:dyDescent="0.2">
      <c r="B15" s="777" t="s">
        <v>1397</v>
      </c>
      <c r="C15" s="916" t="s">
        <v>1398</v>
      </c>
      <c r="D15" s="2198" t="s">
        <v>1388</v>
      </c>
      <c r="E15" s="2204">
        <v>-1090</v>
      </c>
      <c r="F15" s="1628">
        <v>0</v>
      </c>
      <c r="G15" s="1628">
        <v>0</v>
      </c>
      <c r="H15" s="1628">
        <v>-980</v>
      </c>
      <c r="I15" s="1628">
        <v>0</v>
      </c>
      <c r="J15" s="1629">
        <v>0</v>
      </c>
    </row>
    <row r="16" spans="1:11" x14ac:dyDescent="0.2">
      <c r="C16" s="920" t="s">
        <v>1399</v>
      </c>
      <c r="D16" s="756" t="s">
        <v>1400</v>
      </c>
      <c r="E16" s="2205">
        <v>0</v>
      </c>
      <c r="F16" s="1326" t="e">
        <f ca="1">'Income Statement'!D11*0.02</f>
        <v>#NAME?</v>
      </c>
      <c r="G16" s="1326" t="e">
        <f ca="1">'Income Statement'!E11*0.02</f>
        <v>#NAME?</v>
      </c>
      <c r="H16" s="1326" t="e">
        <f ca="1">'Income Statement'!F11*0.02</f>
        <v>#NAME?</v>
      </c>
      <c r="I16" s="1326" t="e">
        <f ca="1">'Income Statement'!G11*0.02</f>
        <v>#NAME?</v>
      </c>
      <c r="J16" s="1630" t="e">
        <f ca="1">'Income Statement'!H11*0.02</f>
        <v>#NAME?</v>
      </c>
    </row>
    <row r="17" spans="2:10" x14ac:dyDescent="0.2">
      <c r="C17" s="920" t="s">
        <v>1401</v>
      </c>
      <c r="D17" s="756" t="s">
        <v>1388</v>
      </c>
      <c r="E17" s="2205">
        <v>0</v>
      </c>
      <c r="F17" s="1326">
        <v>0</v>
      </c>
      <c r="G17" s="1326">
        <v>0</v>
      </c>
      <c r="H17" s="1326">
        <v>-80000</v>
      </c>
      <c r="I17" s="1326">
        <v>-80000</v>
      </c>
      <c r="J17" s="1630">
        <v>-80000</v>
      </c>
    </row>
    <row r="18" spans="2:10" x14ac:dyDescent="0.2">
      <c r="C18" s="911" t="s">
        <v>1402</v>
      </c>
      <c r="D18" s="2199" t="s">
        <v>1388</v>
      </c>
      <c r="E18" s="2206">
        <v>0</v>
      </c>
      <c r="F18" s="1631">
        <v>0</v>
      </c>
      <c r="G18" s="1631">
        <v>0</v>
      </c>
      <c r="H18" s="1631">
        <v>-48000</v>
      </c>
      <c r="I18" s="1631">
        <v>-48000</v>
      </c>
      <c r="J18" s="1632">
        <v>-48000</v>
      </c>
    </row>
    <row r="20" spans="2:10" x14ac:dyDescent="0.2">
      <c r="B20" s="1415" t="s">
        <v>1403</v>
      </c>
      <c r="C20" s="1201" t="s">
        <v>1404</v>
      </c>
      <c r="D20" s="1201" t="s">
        <v>1405</v>
      </c>
      <c r="E20" s="2239" t="s">
        <v>1406</v>
      </c>
    </row>
    <row r="21" spans="2:10" ht="32" x14ac:dyDescent="0.2">
      <c r="B21" s="2247" t="s">
        <v>1407</v>
      </c>
      <c r="C21" s="2302" t="s">
        <v>1408</v>
      </c>
      <c r="D21" s="2296" t="s">
        <v>1409</v>
      </c>
      <c r="E21" s="2248" t="s">
        <v>1410</v>
      </c>
    </row>
    <row r="22" spans="2:10" x14ac:dyDescent="0.2">
      <c r="B22" s="2247" t="s">
        <v>1411</v>
      </c>
      <c r="C22" s="2296" t="s">
        <v>1412</v>
      </c>
      <c r="D22" s="2296" t="s">
        <v>1410</v>
      </c>
      <c r="E22" s="2248" t="s">
        <v>1413</v>
      </c>
    </row>
    <row r="23" spans="2:10" ht="32" x14ac:dyDescent="0.2">
      <c r="B23" s="2247" t="s">
        <v>1414</v>
      </c>
      <c r="C23" s="2302" t="s">
        <v>1415</v>
      </c>
      <c r="D23" s="2296" t="s">
        <v>1416</v>
      </c>
      <c r="E23" s="2248" t="s">
        <v>1410</v>
      </c>
    </row>
    <row r="24" spans="2:10" ht="32" x14ac:dyDescent="0.2">
      <c r="B24" s="2247" t="s">
        <v>1417</v>
      </c>
      <c r="C24" s="2302" t="s">
        <v>1418</v>
      </c>
      <c r="D24" s="2296" t="s">
        <v>1419</v>
      </c>
      <c r="E24" s="2248" t="s">
        <v>1410</v>
      </c>
    </row>
    <row r="25" spans="2:10" x14ac:dyDescent="0.2">
      <c r="B25" s="2247" t="s">
        <v>1420</v>
      </c>
      <c r="C25" s="2302" t="s">
        <v>1421</v>
      </c>
      <c r="D25" s="2296" t="s">
        <v>1409</v>
      </c>
      <c r="E25" s="2248" t="s">
        <v>1416</v>
      </c>
    </row>
    <row r="26" spans="2:10" ht="48" x14ac:dyDescent="0.2">
      <c r="B26" s="2247" t="s">
        <v>1422</v>
      </c>
      <c r="C26" s="2302" t="s">
        <v>1423</v>
      </c>
      <c r="D26" s="2296" t="s">
        <v>1424</v>
      </c>
      <c r="E26" s="2248" t="s">
        <v>1409</v>
      </c>
    </row>
    <row r="27" spans="2:10" x14ac:dyDescent="0.2">
      <c r="B27" s="2247" t="s">
        <v>1425</v>
      </c>
      <c r="C27" s="2302" t="s">
        <v>1426</v>
      </c>
      <c r="D27" s="2296" t="s">
        <v>1427</v>
      </c>
      <c r="E27" s="2248" t="s">
        <v>1410</v>
      </c>
    </row>
    <row r="28" spans="2:10" ht="32" x14ac:dyDescent="0.2">
      <c r="B28" s="2240" t="s">
        <v>1428</v>
      </c>
      <c r="C28" s="2303" t="s">
        <v>1429</v>
      </c>
      <c r="D28" s="2297" t="s">
        <v>1430</v>
      </c>
      <c r="E28" s="2238" t="s">
        <v>1416</v>
      </c>
    </row>
  </sheetData>
  <phoneticPr fontId="59" type="noConversion"/>
  <hyperlinks>
    <hyperlink ref="A1"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J59"/>
  <sheetViews>
    <sheetView topLeftCell="A28" workbookViewId="0">
      <selection activeCell="J56" sqref="J56"/>
    </sheetView>
  </sheetViews>
  <sheetFormatPr baseColWidth="10" defaultColWidth="10.83203125" defaultRowHeight="16" x14ac:dyDescent="0.2"/>
  <cols>
    <col min="2" max="2" width="14" bestFit="1" customWidth="1"/>
    <col min="10" max="10" width="14" bestFit="1" customWidth="1"/>
    <col min="11" max="11" width="12.1640625" customWidth="1"/>
  </cols>
  <sheetData>
    <row r="1" spans="1:10" ht="17" thickBot="1" x14ac:dyDescent="0.25">
      <c r="A1" s="1" t="s">
        <v>38</v>
      </c>
    </row>
    <row r="2" spans="1:10" ht="17" thickBot="1" x14ac:dyDescent="0.25">
      <c r="A2" s="2654" t="s">
        <v>1492</v>
      </c>
      <c r="B2" s="2655"/>
      <c r="I2" s="2654" t="s">
        <v>25</v>
      </c>
      <c r="J2" s="2655"/>
    </row>
    <row r="3" spans="1:10" x14ac:dyDescent="0.2">
      <c r="A3" s="2652" t="s">
        <v>1480</v>
      </c>
      <c r="B3" s="2650">
        <v>947572</v>
      </c>
      <c r="I3" s="2652" t="s">
        <v>1480</v>
      </c>
      <c r="J3" s="2650">
        <v>739401</v>
      </c>
    </row>
    <row r="4" spans="1:10" x14ac:dyDescent="0.2">
      <c r="A4" s="2652" t="s">
        <v>1481</v>
      </c>
      <c r="B4" s="2650">
        <v>-466444</v>
      </c>
      <c r="I4" s="2652" t="s">
        <v>1481</v>
      </c>
      <c r="J4" s="2650">
        <v>-362366</v>
      </c>
    </row>
    <row r="5" spans="1:10" x14ac:dyDescent="0.2">
      <c r="A5" s="2652" t="s">
        <v>1482</v>
      </c>
      <c r="B5" s="2650">
        <v>2375238</v>
      </c>
      <c r="I5" s="2652" t="s">
        <v>1482</v>
      </c>
      <c r="J5" s="2650">
        <v>1518369</v>
      </c>
    </row>
    <row r="6" spans="1:10" x14ac:dyDescent="0.2">
      <c r="A6" s="2652" t="s">
        <v>1483</v>
      </c>
      <c r="B6" s="2650">
        <v>506600</v>
      </c>
      <c r="I6" s="2652" t="s">
        <v>1483</v>
      </c>
      <c r="J6" s="2650">
        <v>411344</v>
      </c>
    </row>
    <row r="7" spans="1:10" x14ac:dyDescent="0.2">
      <c r="A7" s="2652" t="s">
        <v>1378</v>
      </c>
      <c r="B7" s="2650">
        <v>1007411</v>
      </c>
      <c r="I7" s="2652" t="s">
        <v>1378</v>
      </c>
      <c r="J7" s="2650">
        <v>796376</v>
      </c>
    </row>
    <row r="8" spans="1:10" x14ac:dyDescent="0.2">
      <c r="A8" s="2652" t="s">
        <v>1484</v>
      </c>
      <c r="B8" s="2650">
        <v>-130509</v>
      </c>
      <c r="I8" s="2652" t="s">
        <v>1484</v>
      </c>
      <c r="J8" s="2650">
        <v>-9630</v>
      </c>
    </row>
    <row r="9" spans="1:10" x14ac:dyDescent="0.2">
      <c r="A9" s="2652" t="s">
        <v>1485</v>
      </c>
      <c r="B9" s="2650">
        <v>581998</v>
      </c>
      <c r="I9" s="2652" t="s">
        <v>1485</v>
      </c>
      <c r="J9" s="2650">
        <v>467240</v>
      </c>
    </row>
    <row r="10" spans="1:10" x14ac:dyDescent="0.2">
      <c r="A10" s="2652" t="s">
        <v>1486</v>
      </c>
      <c r="B10" s="2650">
        <v>1327859</v>
      </c>
      <c r="I10" s="2652" t="s">
        <v>1486</v>
      </c>
      <c r="J10" s="2650">
        <v>1041790</v>
      </c>
    </row>
    <row r="11" spans="1:10" x14ac:dyDescent="0.2">
      <c r="A11" s="2652" t="s">
        <v>1487</v>
      </c>
      <c r="B11" s="2650">
        <v>1721829</v>
      </c>
      <c r="I11" s="2652" t="s">
        <v>1487</v>
      </c>
      <c r="J11" s="2650">
        <v>1328719</v>
      </c>
    </row>
    <row r="12" spans="1:10" ht="17" thickBot="1" x14ac:dyDescent="0.25">
      <c r="A12" s="2653" t="s">
        <v>1488</v>
      </c>
      <c r="B12" s="2651">
        <f>1-2.8%</f>
        <v>0.97199999999999998</v>
      </c>
      <c r="I12" s="2653" t="s">
        <v>1488</v>
      </c>
      <c r="J12" s="2651">
        <f>1-4.8%</f>
        <v>0.95199999999999996</v>
      </c>
    </row>
    <row r="19" spans="1:10" ht="17" thickBot="1" x14ac:dyDescent="0.25"/>
    <row r="20" spans="1:10" ht="17" thickBot="1" x14ac:dyDescent="0.25">
      <c r="A20" s="2654" t="s">
        <v>1465</v>
      </c>
      <c r="B20" s="2655"/>
      <c r="I20" s="2654" t="s">
        <v>1466</v>
      </c>
      <c r="J20" s="2655"/>
    </row>
    <row r="21" spans="1:10" x14ac:dyDescent="0.2">
      <c r="A21" s="2656" t="s">
        <v>1480</v>
      </c>
      <c r="B21" s="2650">
        <v>1103794</v>
      </c>
      <c r="I21" s="2656" t="s">
        <v>1480</v>
      </c>
      <c r="J21" s="2650">
        <v>819292</v>
      </c>
    </row>
    <row r="22" spans="1:10" x14ac:dyDescent="0.2">
      <c r="A22" s="2656" t="s">
        <v>1481</v>
      </c>
      <c r="B22" s="2650">
        <v>-1191776</v>
      </c>
      <c r="I22" s="2656" t="s">
        <v>1481</v>
      </c>
      <c r="J22" s="2650">
        <v>-35597</v>
      </c>
    </row>
    <row r="23" spans="1:10" x14ac:dyDescent="0.2">
      <c r="A23" s="2656" t="s">
        <v>1482</v>
      </c>
      <c r="B23" s="2650">
        <v>3378859</v>
      </c>
      <c r="I23" s="2656" t="s">
        <v>1482</v>
      </c>
      <c r="J23" s="2650">
        <v>1397812</v>
      </c>
    </row>
    <row r="24" spans="1:10" x14ac:dyDescent="0.2">
      <c r="A24" s="2656" t="s">
        <v>1483</v>
      </c>
      <c r="B24" s="2650">
        <v>734007</v>
      </c>
      <c r="I24" s="2656" t="s">
        <v>1483</v>
      </c>
      <c r="J24" s="2650">
        <v>318543</v>
      </c>
    </row>
    <row r="25" spans="1:10" x14ac:dyDescent="0.2">
      <c r="A25" s="2656" t="s">
        <v>1378</v>
      </c>
      <c r="B25" s="2650">
        <v>1103823</v>
      </c>
      <c r="I25" s="2656" t="s">
        <v>1378</v>
      </c>
      <c r="J25" s="2650">
        <v>866006</v>
      </c>
    </row>
    <row r="26" spans="1:10" x14ac:dyDescent="0.2">
      <c r="A26" s="2656" t="s">
        <v>1484</v>
      </c>
      <c r="B26" s="2650">
        <v>-105220</v>
      </c>
      <c r="I26" s="2656" t="s">
        <v>1484</v>
      </c>
      <c r="J26" s="2650">
        <v>229673</v>
      </c>
    </row>
    <row r="27" spans="1:10" x14ac:dyDescent="0.2">
      <c r="A27" s="2656" t="s">
        <v>1485</v>
      </c>
      <c r="B27" s="2650">
        <v>607843</v>
      </c>
      <c r="I27" s="2656" t="s">
        <v>1485</v>
      </c>
      <c r="J27" s="2650">
        <v>593731</v>
      </c>
    </row>
    <row r="28" spans="1:10" x14ac:dyDescent="0.2">
      <c r="A28" s="2656" t="s">
        <v>1486</v>
      </c>
      <c r="B28" s="2650">
        <v>1568164</v>
      </c>
      <c r="I28" s="2656" t="s">
        <v>1486</v>
      </c>
      <c r="J28" s="2650">
        <v>1074373</v>
      </c>
    </row>
    <row r="29" spans="1:10" x14ac:dyDescent="0.2">
      <c r="A29" s="2656" t="s">
        <v>1487</v>
      </c>
      <c r="B29" s="2650">
        <v>2307102</v>
      </c>
      <c r="I29" s="2656" t="s">
        <v>1487</v>
      </c>
      <c r="J29" s="2650">
        <v>1264496</v>
      </c>
    </row>
    <row r="30" spans="1:10" ht="17" thickBot="1" x14ac:dyDescent="0.25">
      <c r="A30" s="2657" t="s">
        <v>1488</v>
      </c>
      <c r="B30" s="2651">
        <f>1-6.7%</f>
        <v>0.93300000000000005</v>
      </c>
      <c r="I30" s="2657" t="s">
        <v>1488</v>
      </c>
      <c r="J30" s="2658">
        <f>1-0.2%</f>
        <v>0.998</v>
      </c>
    </row>
    <row r="39" spans="1:10" ht="17" thickBot="1" x14ac:dyDescent="0.25"/>
    <row r="40" spans="1:10" ht="17" thickBot="1" x14ac:dyDescent="0.25">
      <c r="A40" s="2654" t="s">
        <v>1464</v>
      </c>
      <c r="B40" s="2655"/>
      <c r="I40" s="2654" t="s">
        <v>1493</v>
      </c>
      <c r="J40" s="2655"/>
    </row>
    <row r="41" spans="1:10" x14ac:dyDescent="0.2">
      <c r="A41" s="2656" t="s">
        <v>1480</v>
      </c>
      <c r="B41" s="2650">
        <v>1102624</v>
      </c>
      <c r="I41" s="2656" t="s">
        <v>1480</v>
      </c>
      <c r="J41" s="2650">
        <v>147679</v>
      </c>
    </row>
    <row r="42" spans="1:10" x14ac:dyDescent="0.2">
      <c r="A42" s="2656" t="s">
        <v>1481</v>
      </c>
      <c r="B42" s="2650">
        <v>-2421907</v>
      </c>
      <c r="I42" s="2656" t="s">
        <v>1481</v>
      </c>
      <c r="J42" s="2650">
        <v>-3775618</v>
      </c>
    </row>
    <row r="43" spans="1:10" x14ac:dyDescent="0.2">
      <c r="A43" s="2656" t="s">
        <v>1482</v>
      </c>
      <c r="B43" s="2650">
        <v>4234876</v>
      </c>
      <c r="I43" s="2656" t="s">
        <v>1482</v>
      </c>
      <c r="J43" s="2650">
        <v>4720031</v>
      </c>
    </row>
    <row r="44" spans="1:10" x14ac:dyDescent="0.2">
      <c r="A44" s="2656" t="s">
        <v>1483</v>
      </c>
      <c r="B44" s="2650">
        <v>990187</v>
      </c>
      <c r="I44" s="2656" t="s">
        <v>1483</v>
      </c>
      <c r="J44" s="2650">
        <v>1452330</v>
      </c>
    </row>
    <row r="45" spans="1:10" x14ac:dyDescent="0.2">
      <c r="A45" s="2656" t="s">
        <v>1378</v>
      </c>
      <c r="B45" s="2650">
        <v>1103814</v>
      </c>
      <c r="I45" s="2656" t="s">
        <v>1378</v>
      </c>
      <c r="J45" s="2650">
        <v>155413</v>
      </c>
    </row>
    <row r="46" spans="1:10" x14ac:dyDescent="0.2">
      <c r="A46" s="2656" t="s">
        <v>1484</v>
      </c>
      <c r="B46" s="2650">
        <v>-531751</v>
      </c>
      <c r="I46" s="2656" t="s">
        <v>1484</v>
      </c>
      <c r="J46" s="2650">
        <v>-2234618</v>
      </c>
    </row>
    <row r="47" spans="1:10" x14ac:dyDescent="0.2">
      <c r="A47" s="2656" t="s">
        <v>1485</v>
      </c>
      <c r="B47" s="2650">
        <v>433952</v>
      </c>
      <c r="I47" s="2656" t="s">
        <v>1485</v>
      </c>
      <c r="J47" s="2650">
        <v>-879944</v>
      </c>
    </row>
    <row r="48" spans="1:10" x14ac:dyDescent="0.2">
      <c r="A48" s="2656" t="s">
        <v>1486</v>
      </c>
      <c r="B48" s="2650">
        <v>1769763</v>
      </c>
      <c r="I48" s="2656" t="s">
        <v>1486</v>
      </c>
      <c r="J48" s="2650">
        <v>1125280</v>
      </c>
    </row>
    <row r="49" spans="1:10" x14ac:dyDescent="0.2">
      <c r="A49" s="2656" t="s">
        <v>1487</v>
      </c>
      <c r="B49" s="2650">
        <v>2726022</v>
      </c>
      <c r="I49" s="2656" t="s">
        <v>1487</v>
      </c>
      <c r="J49" s="2650">
        <v>2528251</v>
      </c>
    </row>
    <row r="50" spans="1:10" ht="17" thickBot="1" x14ac:dyDescent="0.25">
      <c r="A50" s="2657" t="s">
        <v>1488</v>
      </c>
      <c r="B50" s="2651">
        <f>1-13.2%</f>
        <v>0.86799999999999999</v>
      </c>
      <c r="I50" s="2657" t="s">
        <v>1488</v>
      </c>
      <c r="J50" s="2651">
        <f>1-45.4%</f>
        <v>0.54600000000000004</v>
      </c>
    </row>
    <row r="59" spans="1:10" x14ac:dyDescent="0.2">
      <c r="I59" s="2609" t="s">
        <v>1494</v>
      </c>
    </row>
  </sheetData>
  <phoneticPr fontId="59" type="noConversion"/>
  <hyperlinks>
    <hyperlink ref="A1" location="Index!A1" display="index"/>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Cover</vt:lpstr>
      <vt:lpstr>Index</vt:lpstr>
      <vt:lpstr>General Assumptions</vt:lpstr>
      <vt:lpstr>Influence Chart</vt:lpstr>
      <vt:lpstr>Sensitivity Analysis</vt:lpstr>
      <vt:lpstr>Valuation</vt:lpstr>
      <vt:lpstr>NPV Calculations for Simulation</vt:lpstr>
      <vt:lpstr>Risk Mitigation Cost</vt:lpstr>
      <vt:lpstr>Simulation before Mitigation</vt:lpstr>
      <vt:lpstr>BASES MODEL (Base Case)</vt:lpstr>
      <vt:lpstr>Purchase Intent and Price</vt:lpstr>
      <vt:lpstr>ACV</vt:lpstr>
      <vt:lpstr>FE Assumptions</vt:lpstr>
      <vt:lpstr>Income Statement</vt:lpstr>
      <vt:lpstr>Simulation of The Worst Case</vt:lpstr>
      <vt:lpstr>Base Case-Worst Case</vt:lpstr>
      <vt:lpstr>Simulation after Mitigation</vt:lpstr>
      <vt:lpstr>Base Case-after Risk Mitigation</vt:lpstr>
      <vt:lpstr>PI &amp;Price after Risk Mitigation</vt:lpstr>
      <vt:lpstr>FE Assumption after Mitigation</vt:lpstr>
      <vt:lpstr>IS after Mitigation</vt:lpstr>
      <vt:lpstr>Capacity</vt:lpstr>
      <vt:lpstr>Aggregate Plan</vt:lpstr>
      <vt:lpstr>Inventory</vt:lpstr>
      <vt:lpstr>Logistics</vt:lpstr>
      <vt:lpstr>Salaries</vt:lpstr>
      <vt:lpstr>Location</vt:lpstr>
      <vt:lpstr>OH</vt:lpstr>
      <vt:lpstr>Scrap + Defect</vt:lpstr>
      <vt:lpstr>HOQ</vt:lpstr>
      <vt:lpstr>Office</vt:lpstr>
      <vt:lpstr>IT</vt:lpstr>
      <vt:lpstr>Avg.Weighted Manufacturer Price</vt:lpstr>
      <vt:lpstr>RiskSerializationData</vt:lpstr>
      <vt:lpstr>IMC Schedules</vt:lpstr>
      <vt:lpstr>IMC References</vt:lpstr>
      <vt:lpstr>Balance Sheet</vt:lpstr>
      <vt:lpstr>rsklibSimData</vt:lpstr>
      <vt:lpstr>Funding</vt:lpstr>
      <vt:lpstr>Break-even Analysis</vt:lpstr>
      <vt:lpstr>Depreciation Tables</vt:lpstr>
      <vt:lpstr>CompCo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Nailya Yafyasova</dc:creator>
  <cp:keywords/>
  <dc:description/>
  <cp:lastModifiedBy>Microsoft Office User</cp:lastModifiedBy>
  <cp:revision/>
  <dcterms:created xsi:type="dcterms:W3CDTF">2017-10-27T18:52:32Z</dcterms:created>
  <dcterms:modified xsi:type="dcterms:W3CDTF">2017-11-21T08:06:11Z</dcterms:modified>
  <cp:category/>
  <cp:contentStatus/>
</cp:coreProperties>
</file>